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drawings/drawing13.xml" ContentType="application/vnd.openxmlformats-officedocument.drawing+xml"/>
  <Override PartName="/xl/comments6.xml" ContentType="application/vnd.openxmlformats-officedocument.spreadsheetml.comments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H:\MAGGI\RESPALDOS\SSVQ\2020\FICHA COMUNAL\DICIEMBRE\"/>
    </mc:Choice>
  </mc:AlternateContent>
  <xr:revisionPtr revIDLastSave="0" documentId="8_{54FA8085-2EF9-4E43-A831-AC3C216618D5}" xr6:coauthVersionLast="44" xr6:coauthVersionMax="44" xr10:uidLastSave="{00000000-0000-0000-0000-000000000000}"/>
  <bookViews>
    <workbookView xWindow="-120" yWindow="-120" windowWidth="24240" windowHeight="13140" activeTab="2" xr2:uid="{00000000-000D-0000-FFFF-FFFF00000000}"/>
  </bookViews>
  <sheets>
    <sheet name="Cabildo" sheetId="1" r:id="rId1"/>
    <sheet name="La Calera" sheetId="2" r:id="rId2"/>
    <sheet name="Concón" sheetId="3" r:id="rId3"/>
    <sheet name="Hijuelas" sheetId="4" r:id="rId4"/>
    <sheet name="La Cruz" sheetId="5" r:id="rId5"/>
    <sheet name="La Ligua" sheetId="6" r:id="rId6"/>
    <sheet name="Limache" sheetId="14" r:id="rId7"/>
    <sheet name="Nogales" sheetId="7" r:id="rId8"/>
    <sheet name="Olmue" sheetId="9" r:id="rId9"/>
    <sheet name="Papudo" sheetId="10" r:id="rId10"/>
    <sheet name="Petorca" sheetId="11" r:id="rId11"/>
    <sheet name="Puchuncavi" sheetId="12" r:id="rId12"/>
    <sheet name="Quillota" sheetId="13" r:id="rId13"/>
    <sheet name="Quilpue" sheetId="15" r:id="rId14"/>
    <sheet name="Quintero" sheetId="16" r:id="rId15"/>
    <sheet name="Villa Alemana" sheetId="17" r:id="rId16"/>
    <sheet name="Viña del Mar" sheetId="18" r:id="rId17"/>
    <sheet name="Zapallar" sheetId="19" r:id="rId18"/>
    <sheet name="Consolidado '20" sheetId="22" r:id="rId19"/>
    <sheet name="Hoja4" sheetId="25" r:id="rId20"/>
    <sheet name="Hoja3" sheetId="24" r:id="rId21"/>
    <sheet name="Hoja1" sheetId="21" r:id="rId22"/>
    <sheet name="Consolidado" sheetId="20" state="hidden" r:id="rId23"/>
  </sheets>
  <definedNames>
    <definedName name="_xlnm._FilterDatabase" localSheetId="0" hidden="1">Cabildo!$A$33:$AI$85</definedName>
    <definedName name="_xlnm._FilterDatabase" localSheetId="15" hidden="1">'Villa Alemana'!$A$33:$BA$86</definedName>
  </definedNames>
  <calcPr calcId="181029"/>
  <pivotCaches>
    <pivotCache cacheId="0" r:id="rId2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7" i="3" l="1"/>
  <c r="AF67" i="3" l="1"/>
  <c r="T22" i="22" l="1"/>
  <c r="T67" i="3" l="1"/>
  <c r="AY38" i="15" l="1"/>
  <c r="AV39" i="17" l="1"/>
  <c r="AV38" i="17"/>
  <c r="AU39" i="17"/>
  <c r="AU38" i="17"/>
  <c r="D60" i="15" l="1"/>
  <c r="E69" i="11" l="1"/>
  <c r="E69" i="4"/>
  <c r="AG69" i="1"/>
  <c r="E69" i="1"/>
  <c r="AG21" i="12"/>
  <c r="H21" i="14"/>
  <c r="AG19" i="18" l="1"/>
  <c r="AE16" i="18"/>
  <c r="H17" i="18" l="1"/>
  <c r="H18" i="18"/>
  <c r="H19" i="18"/>
  <c r="H20" i="18"/>
  <c r="H21" i="18"/>
  <c r="H22" i="18"/>
  <c r="H23" i="18"/>
  <c r="H24" i="18"/>
  <c r="H25" i="18"/>
  <c r="H26" i="18"/>
  <c r="H27" i="18"/>
  <c r="H28" i="18"/>
  <c r="H29" i="18"/>
  <c r="H16" i="18"/>
  <c r="AG16" i="18"/>
  <c r="AG16" i="10"/>
  <c r="AH16" i="18" l="1"/>
  <c r="AE67" i="3"/>
  <c r="AE67" i="2"/>
  <c r="AE67" i="1"/>
  <c r="AE68" i="22" l="1"/>
  <c r="AE70" i="22"/>
  <c r="AE71" i="22"/>
  <c r="AE72" i="22"/>
  <c r="AE73" i="22"/>
  <c r="AE74" i="22"/>
  <c r="AE75" i="22"/>
  <c r="S70" i="22"/>
  <c r="S71" i="22"/>
  <c r="S72" i="22"/>
  <c r="S67" i="17" l="1"/>
  <c r="S67" i="16" l="1"/>
  <c r="R67" i="17"/>
  <c r="S67" i="18"/>
  <c r="R67" i="3"/>
  <c r="R67" i="2"/>
  <c r="S67" i="1"/>
  <c r="AE67" i="17" l="1"/>
  <c r="AE67" i="15"/>
  <c r="AE67" i="13"/>
  <c r="AE67" i="12"/>
  <c r="AE67" i="5"/>
  <c r="AE67" i="4"/>
  <c r="AD67" i="4"/>
  <c r="AE51" i="11"/>
  <c r="AE69" i="22" l="1"/>
  <c r="AE48" i="9"/>
  <c r="AE60" i="2"/>
  <c r="C31" i="3" l="1"/>
  <c r="D67" i="16" l="1"/>
  <c r="D67" i="17"/>
  <c r="D67" i="18"/>
  <c r="D67" i="19"/>
  <c r="AU83" i="2" l="1"/>
  <c r="D67" i="15" l="1"/>
  <c r="D77" i="15"/>
  <c r="E81" i="15" l="1"/>
  <c r="D67" i="13"/>
  <c r="D67" i="12"/>
  <c r="D67" i="11"/>
  <c r="D67" i="10"/>
  <c r="D67" i="9"/>
  <c r="D67" i="7"/>
  <c r="E67" i="14"/>
  <c r="D67" i="6"/>
  <c r="D67" i="5"/>
  <c r="AE53" i="4" l="1"/>
  <c r="AE52" i="4"/>
  <c r="AE50" i="4"/>
  <c r="AE51" i="4"/>
  <c r="AG25" i="19" l="1"/>
  <c r="AG26" i="19"/>
  <c r="AH26" i="19" s="1"/>
  <c r="AG27" i="19"/>
  <c r="AG28" i="19"/>
  <c r="AH28" i="19"/>
  <c r="AG29" i="19"/>
  <c r="H25" i="19"/>
  <c r="H26" i="19"/>
  <c r="H27" i="19"/>
  <c r="H28" i="19"/>
  <c r="H29" i="19"/>
  <c r="AG29" i="18"/>
  <c r="AH29" i="18"/>
  <c r="AG29" i="17"/>
  <c r="AH29" i="17"/>
  <c r="H29" i="17"/>
  <c r="AG24" i="16"/>
  <c r="AH24" i="16" s="1"/>
  <c r="AG25" i="16"/>
  <c r="AG26" i="16"/>
  <c r="AG27" i="16"/>
  <c r="AG28" i="16"/>
  <c r="AH28" i="16" s="1"/>
  <c r="AG29" i="16"/>
  <c r="H24" i="16"/>
  <c r="H25" i="16"/>
  <c r="AH25" i="16" s="1"/>
  <c r="H26" i="16"/>
  <c r="AH26" i="16" s="1"/>
  <c r="H27" i="16"/>
  <c r="AH27" i="16" s="1"/>
  <c r="H28" i="16"/>
  <c r="H29" i="16"/>
  <c r="AG29" i="15"/>
  <c r="H29" i="15"/>
  <c r="AG29" i="13"/>
  <c r="H29" i="13"/>
  <c r="AG29" i="12"/>
  <c r="H29" i="12"/>
  <c r="AG29" i="11"/>
  <c r="H29" i="11"/>
  <c r="AG29" i="10"/>
  <c r="H29" i="10"/>
  <c r="AG29" i="9"/>
  <c r="H29" i="9"/>
  <c r="AG29" i="7"/>
  <c r="AH29" i="7"/>
  <c r="H29" i="7"/>
  <c r="AG29" i="6"/>
  <c r="H29" i="6"/>
  <c r="AG29" i="5"/>
  <c r="AH29" i="5" s="1"/>
  <c r="H29" i="5"/>
  <c r="AG29" i="4"/>
  <c r="AH29" i="4" s="1"/>
  <c r="H29" i="4"/>
  <c r="AG29" i="3"/>
  <c r="AH29" i="3" s="1"/>
  <c r="H29" i="3"/>
  <c r="AG29" i="1"/>
  <c r="H29" i="1"/>
  <c r="AH29" i="1" s="1"/>
  <c r="H27" i="2"/>
  <c r="H28" i="2"/>
  <c r="AH28" i="2" s="1"/>
  <c r="H29" i="2"/>
  <c r="AG27" i="2"/>
  <c r="AG28" i="2"/>
  <c r="AG29" i="2"/>
  <c r="AH29" i="16" l="1"/>
  <c r="AH27" i="19"/>
  <c r="AH29" i="2"/>
  <c r="AH29" i="10"/>
  <c r="AH29" i="12"/>
  <c r="AH29" i="15"/>
  <c r="AH29" i="19"/>
  <c r="AH27" i="2"/>
  <c r="AH29" i="9"/>
  <c r="AH29" i="11"/>
  <c r="AH29" i="13"/>
  <c r="AH25" i="19"/>
  <c r="D53" i="4"/>
  <c r="D52" i="4"/>
  <c r="D51" i="4"/>
  <c r="D50" i="4"/>
  <c r="D67" i="4" l="1"/>
  <c r="R67" i="4"/>
  <c r="D67" i="2" l="1"/>
  <c r="D67" i="1"/>
  <c r="AC83" i="10" l="1"/>
  <c r="AA83" i="10"/>
  <c r="U37" i="22" l="1"/>
  <c r="V37" i="22"/>
  <c r="W37" i="22"/>
  <c r="X37" i="22"/>
  <c r="Y37" i="22"/>
  <c r="Z37" i="22"/>
  <c r="AA37" i="22"/>
  <c r="AB37" i="22"/>
  <c r="AC37" i="22"/>
  <c r="AD37" i="22"/>
  <c r="AE37" i="22"/>
  <c r="AF37" i="22"/>
  <c r="U38" i="22"/>
  <c r="V38" i="22"/>
  <c r="W38" i="22"/>
  <c r="X38" i="22"/>
  <c r="Y38" i="22"/>
  <c r="Z38" i="22"/>
  <c r="AA38" i="22"/>
  <c r="AD38" i="22"/>
  <c r="AE38" i="22"/>
  <c r="AF38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W48" i="22"/>
  <c r="Z48" i="22"/>
  <c r="AA48" i="22"/>
  <c r="AB48" i="22"/>
  <c r="AC48" i="22"/>
  <c r="AD48" i="22"/>
  <c r="AE48" i="22"/>
  <c r="AF48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U50" i="22"/>
  <c r="V50" i="22"/>
  <c r="W50" i="22"/>
  <c r="X50" i="22"/>
  <c r="Y50" i="22"/>
  <c r="Z50" i="22"/>
  <c r="AA50" i="22"/>
  <c r="AD50" i="22"/>
  <c r="AE50" i="22"/>
  <c r="AF50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U57" i="22"/>
  <c r="V57" i="22"/>
  <c r="W57" i="22"/>
  <c r="X57" i="22"/>
  <c r="Y57" i="22"/>
  <c r="Z57" i="22"/>
  <c r="AA57" i="22"/>
  <c r="AB57" i="22"/>
  <c r="AC57" i="22"/>
  <c r="AD57" i="22"/>
  <c r="AE57" i="22"/>
  <c r="AF57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U60" i="22"/>
  <c r="V60" i="22"/>
  <c r="W60" i="22"/>
  <c r="X60" i="22"/>
  <c r="Y60" i="22"/>
  <c r="Z60" i="22"/>
  <c r="AA60" i="22"/>
  <c r="AB60" i="22"/>
  <c r="AC60" i="22"/>
  <c r="AD60" i="22"/>
  <c r="AE60" i="22"/>
  <c r="AF60" i="22"/>
  <c r="U61" i="22"/>
  <c r="V61" i="22"/>
  <c r="W61" i="22"/>
  <c r="X61" i="22"/>
  <c r="Y61" i="22"/>
  <c r="Z61" i="22"/>
  <c r="AB61" i="22"/>
  <c r="AC61" i="22"/>
  <c r="AD61" i="22"/>
  <c r="AE61" i="22"/>
  <c r="AF61" i="22"/>
  <c r="U62" i="22"/>
  <c r="V62" i="22"/>
  <c r="W62" i="22"/>
  <c r="X62" i="22"/>
  <c r="Y62" i="22"/>
  <c r="Z62" i="22"/>
  <c r="AA62" i="22"/>
  <c r="AD62" i="22"/>
  <c r="AE62" i="22"/>
  <c r="AF62" i="22"/>
  <c r="U63" i="22"/>
  <c r="V63" i="22"/>
  <c r="W63" i="22"/>
  <c r="X63" i="22"/>
  <c r="Y63" i="22"/>
  <c r="Z63" i="22"/>
  <c r="AA63" i="22"/>
  <c r="AB63" i="22"/>
  <c r="AD63" i="22"/>
  <c r="AE63" i="22"/>
  <c r="AF63" i="22"/>
  <c r="U64" i="22"/>
  <c r="V64" i="22"/>
  <c r="W64" i="22"/>
  <c r="X64" i="22"/>
  <c r="Y64" i="22"/>
  <c r="Z64" i="22"/>
  <c r="AA64" i="22"/>
  <c r="AB64" i="22"/>
  <c r="AC64" i="22"/>
  <c r="AD64" i="22"/>
  <c r="AE64" i="22"/>
  <c r="AF64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U66" i="22"/>
  <c r="V66" i="22"/>
  <c r="W66" i="22"/>
  <c r="X66" i="22"/>
  <c r="Y66" i="22"/>
  <c r="Z66" i="22"/>
  <c r="AA66" i="22"/>
  <c r="AB66" i="22"/>
  <c r="AC66" i="22"/>
  <c r="AD66" i="22"/>
  <c r="AE66" i="22"/>
  <c r="AF66" i="22"/>
  <c r="U67" i="22"/>
  <c r="V67" i="22"/>
  <c r="W67" i="22"/>
  <c r="X67" i="22"/>
  <c r="Y67" i="22"/>
  <c r="Z67" i="22"/>
  <c r="AA67" i="22"/>
  <c r="AB67" i="22"/>
  <c r="AC67" i="22"/>
  <c r="AD67" i="22"/>
  <c r="AE67" i="22"/>
  <c r="AF67" i="22"/>
  <c r="U68" i="22"/>
  <c r="V68" i="22"/>
  <c r="W68" i="22"/>
  <c r="X68" i="22"/>
  <c r="Y68" i="22"/>
  <c r="Z68" i="22"/>
  <c r="AA68" i="22"/>
  <c r="AB68" i="22"/>
  <c r="AC68" i="22"/>
  <c r="AD68" i="22"/>
  <c r="AF68" i="22"/>
  <c r="U69" i="22"/>
  <c r="V69" i="22"/>
  <c r="W69" i="22"/>
  <c r="X69" i="22"/>
  <c r="Z69" i="22"/>
  <c r="AA69" i="22"/>
  <c r="AB69" i="22"/>
  <c r="AC69" i="22"/>
  <c r="AF69" i="22"/>
  <c r="U70" i="22"/>
  <c r="V70" i="22"/>
  <c r="W70" i="22"/>
  <c r="X70" i="22"/>
  <c r="Y70" i="22"/>
  <c r="Z70" i="22"/>
  <c r="AA70" i="22"/>
  <c r="AB70" i="22"/>
  <c r="AC70" i="22"/>
  <c r="AD70" i="22"/>
  <c r="AF70" i="22"/>
  <c r="U71" i="22"/>
  <c r="V71" i="22"/>
  <c r="W71" i="22"/>
  <c r="X71" i="22"/>
  <c r="Y71" i="22"/>
  <c r="Z71" i="22"/>
  <c r="AA71" i="22"/>
  <c r="AB71" i="22"/>
  <c r="AC71" i="22"/>
  <c r="AD71" i="22"/>
  <c r="AF71" i="22"/>
  <c r="U72" i="22"/>
  <c r="V72" i="22"/>
  <c r="W72" i="22"/>
  <c r="X72" i="22"/>
  <c r="Y72" i="22"/>
  <c r="Z72" i="22"/>
  <c r="AA72" i="22"/>
  <c r="AB72" i="22"/>
  <c r="AC72" i="22"/>
  <c r="AD72" i="22"/>
  <c r="AF72" i="22"/>
  <c r="U73" i="22"/>
  <c r="V73" i="22"/>
  <c r="W73" i="22"/>
  <c r="X73" i="22"/>
  <c r="Y73" i="22"/>
  <c r="Z73" i="22"/>
  <c r="AA73" i="22"/>
  <c r="AB73" i="22"/>
  <c r="AC73" i="22"/>
  <c r="AD73" i="22"/>
  <c r="AF73" i="22"/>
  <c r="U74" i="22"/>
  <c r="V74" i="22"/>
  <c r="W74" i="22"/>
  <c r="X74" i="22"/>
  <c r="Y74" i="22"/>
  <c r="Z74" i="22"/>
  <c r="AA74" i="22"/>
  <c r="AB74" i="22"/>
  <c r="AC74" i="22"/>
  <c r="AD74" i="22"/>
  <c r="AF74" i="22"/>
  <c r="U75" i="22"/>
  <c r="V75" i="22"/>
  <c r="W75" i="22"/>
  <c r="X75" i="22"/>
  <c r="Y75" i="22"/>
  <c r="Z75" i="22"/>
  <c r="AA75" i="22"/>
  <c r="AB75" i="22"/>
  <c r="AC75" i="22"/>
  <c r="AD75" i="22"/>
  <c r="AF75" i="22"/>
  <c r="U76" i="22"/>
  <c r="V76" i="22"/>
  <c r="W76" i="22"/>
  <c r="X76" i="22"/>
  <c r="Y76" i="22"/>
  <c r="Z76" i="22"/>
  <c r="AA76" i="22"/>
  <c r="AB76" i="22"/>
  <c r="AC76" i="22"/>
  <c r="AD76" i="22"/>
  <c r="AE76" i="22"/>
  <c r="AF76" i="22"/>
  <c r="U77" i="22"/>
  <c r="V77" i="22"/>
  <c r="W77" i="22"/>
  <c r="X77" i="22"/>
  <c r="Y77" i="22"/>
  <c r="Z77" i="22"/>
  <c r="AA77" i="22"/>
  <c r="AB77" i="22"/>
  <c r="AC77" i="22"/>
  <c r="AD77" i="22"/>
  <c r="AE77" i="22"/>
  <c r="AF77" i="22"/>
  <c r="U78" i="22"/>
  <c r="V78" i="22"/>
  <c r="W78" i="22"/>
  <c r="X78" i="22"/>
  <c r="Y78" i="22"/>
  <c r="Z78" i="22"/>
  <c r="AA78" i="22"/>
  <c r="AB78" i="22"/>
  <c r="AC78" i="22"/>
  <c r="AD78" i="22"/>
  <c r="AE78" i="22"/>
  <c r="AF78" i="22"/>
  <c r="U79" i="22"/>
  <c r="V79" i="22"/>
  <c r="W79" i="22"/>
  <c r="X79" i="22"/>
  <c r="Y79" i="22"/>
  <c r="Z79" i="22"/>
  <c r="AA79" i="22"/>
  <c r="AB79" i="22"/>
  <c r="AC79" i="22"/>
  <c r="AD79" i="22"/>
  <c r="AE79" i="22"/>
  <c r="AF79" i="22"/>
  <c r="U80" i="22"/>
  <c r="V80" i="22"/>
  <c r="W80" i="22"/>
  <c r="X80" i="22"/>
  <c r="Y80" i="22"/>
  <c r="Z80" i="22"/>
  <c r="AA80" i="22"/>
  <c r="AB80" i="22"/>
  <c r="AC80" i="22"/>
  <c r="AD80" i="22"/>
  <c r="AE80" i="22"/>
  <c r="AF80" i="22"/>
  <c r="U81" i="22"/>
  <c r="V81" i="22"/>
  <c r="W81" i="22"/>
  <c r="X81" i="22"/>
  <c r="Y81" i="22"/>
  <c r="Z81" i="22"/>
  <c r="AA81" i="22"/>
  <c r="AB81" i="22"/>
  <c r="AC81" i="22"/>
  <c r="AD81" i="22"/>
  <c r="AE81" i="22"/>
  <c r="AF81" i="22"/>
  <c r="U82" i="22"/>
  <c r="V82" i="22"/>
  <c r="W82" i="22"/>
  <c r="X82" i="22"/>
  <c r="Y82" i="22"/>
  <c r="Z82" i="22"/>
  <c r="AA82" i="22"/>
  <c r="AB82" i="22"/>
  <c r="AC82" i="22"/>
  <c r="AD82" i="22"/>
  <c r="AE82" i="22"/>
  <c r="AF82" i="22"/>
  <c r="U83" i="22"/>
  <c r="V83" i="22"/>
  <c r="W83" i="22"/>
  <c r="X83" i="22"/>
  <c r="Y83" i="22"/>
  <c r="Z83" i="22"/>
  <c r="AA83" i="22"/>
  <c r="AB83" i="22"/>
  <c r="AC83" i="22"/>
  <c r="AD83" i="22"/>
  <c r="AE83" i="22"/>
  <c r="AF83" i="22"/>
  <c r="U84" i="22"/>
  <c r="V84" i="22"/>
  <c r="W84" i="22"/>
  <c r="X84" i="22"/>
  <c r="Y84" i="22"/>
  <c r="Z84" i="22"/>
  <c r="AA84" i="22"/>
  <c r="AB84" i="22"/>
  <c r="AC84" i="22"/>
  <c r="AD84" i="22"/>
  <c r="AE84" i="22"/>
  <c r="AF84" i="22"/>
  <c r="V36" i="22"/>
  <c r="W36" i="22"/>
  <c r="X36" i="22"/>
  <c r="Y36" i="22"/>
  <c r="Z36" i="22"/>
  <c r="AA36" i="22"/>
  <c r="AB36" i="22"/>
  <c r="AC36" i="22"/>
  <c r="AD36" i="22"/>
  <c r="AE36" i="22"/>
  <c r="AF36" i="22"/>
  <c r="U36" i="22"/>
  <c r="AG70" i="22" l="1"/>
  <c r="AG71" i="22"/>
  <c r="J79" i="22"/>
  <c r="K79" i="22"/>
  <c r="L79" i="22"/>
  <c r="M79" i="22"/>
  <c r="N79" i="22"/>
  <c r="O79" i="22"/>
  <c r="P79" i="22"/>
  <c r="Q79" i="22"/>
  <c r="R79" i="22"/>
  <c r="S79" i="22"/>
  <c r="T79" i="22"/>
  <c r="I79" i="22"/>
  <c r="AG76" i="17" l="1"/>
  <c r="H76" i="17"/>
  <c r="AH76" i="17" s="1"/>
  <c r="H11" i="22" l="1"/>
  <c r="E11" i="22" l="1"/>
  <c r="R30" i="12" l="1"/>
  <c r="T110" i="22"/>
  <c r="R67" i="15"/>
  <c r="R73" i="22" l="1"/>
  <c r="R74" i="22"/>
  <c r="R75" i="22"/>
  <c r="R76" i="22"/>
  <c r="R77" i="22"/>
  <c r="R78" i="22"/>
  <c r="R80" i="22"/>
  <c r="R81" i="22"/>
  <c r="R82" i="22"/>
  <c r="R83" i="22"/>
  <c r="R84" i="22"/>
  <c r="AD67" i="19" l="1"/>
  <c r="R67" i="19"/>
  <c r="AD67" i="18" l="1"/>
  <c r="AD67" i="15"/>
  <c r="AD67" i="13"/>
  <c r="AD67" i="11"/>
  <c r="AD67" i="10"/>
  <c r="AD67" i="9"/>
  <c r="AD67" i="7"/>
  <c r="AD67" i="6"/>
  <c r="AD67" i="5"/>
  <c r="AD67" i="3" l="1"/>
  <c r="AD67" i="2"/>
  <c r="AD67" i="1"/>
  <c r="AD69" i="22" s="1"/>
  <c r="R67" i="18" l="1"/>
  <c r="R67" i="16"/>
  <c r="R67" i="13"/>
  <c r="R67" i="12"/>
  <c r="R67" i="11"/>
  <c r="R67" i="10"/>
  <c r="R67" i="9"/>
  <c r="R67" i="7"/>
  <c r="R67" i="6"/>
  <c r="R67" i="5"/>
  <c r="R67" i="1"/>
  <c r="E81" i="18"/>
  <c r="R69" i="22" l="1"/>
  <c r="R111" i="22"/>
  <c r="U110" i="22"/>
  <c r="F34" i="19"/>
  <c r="F35" i="19"/>
  <c r="D54" i="2"/>
  <c r="F38" i="18"/>
  <c r="E38" i="18"/>
  <c r="D38" i="5"/>
  <c r="D38" i="4"/>
  <c r="D38" i="2"/>
  <c r="AS83" i="18" l="1"/>
  <c r="AZ38" i="15"/>
  <c r="AQ83" i="9" l="1"/>
  <c r="AT72" i="2" l="1"/>
  <c r="Y89" i="22" l="1"/>
  <c r="I37" i="22"/>
  <c r="J37" i="22"/>
  <c r="K37" i="22"/>
  <c r="L37" i="22"/>
  <c r="M37" i="22"/>
  <c r="N37" i="22"/>
  <c r="O37" i="22"/>
  <c r="P37" i="22"/>
  <c r="Q37" i="22"/>
  <c r="R37" i="22"/>
  <c r="S37" i="22"/>
  <c r="T37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I52" i="22"/>
  <c r="J52" i="22"/>
  <c r="K52" i="22"/>
  <c r="L52" i="22"/>
  <c r="M52" i="22"/>
  <c r="N52" i="22"/>
  <c r="O52" i="22"/>
  <c r="P52" i="22"/>
  <c r="Q52" i="22"/>
  <c r="S52" i="22"/>
  <c r="T52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I57" i="22"/>
  <c r="J57" i="22"/>
  <c r="K57" i="22"/>
  <c r="L57" i="22"/>
  <c r="M57" i="22"/>
  <c r="N57" i="22"/>
  <c r="O57" i="22"/>
  <c r="P57" i="22"/>
  <c r="Q57" i="22"/>
  <c r="R57" i="22"/>
  <c r="S57" i="22"/>
  <c r="T57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I60" i="22"/>
  <c r="J60" i="22"/>
  <c r="K60" i="22"/>
  <c r="L60" i="22"/>
  <c r="M60" i="22"/>
  <c r="N60" i="22"/>
  <c r="O60" i="22"/>
  <c r="P60" i="22"/>
  <c r="Q60" i="22"/>
  <c r="R60" i="22"/>
  <c r="S60" i="22"/>
  <c r="T60" i="22"/>
  <c r="I61" i="22"/>
  <c r="J61" i="22"/>
  <c r="K61" i="22"/>
  <c r="L61" i="22"/>
  <c r="M61" i="22"/>
  <c r="N61" i="22"/>
  <c r="O61" i="22"/>
  <c r="P61" i="22"/>
  <c r="Q61" i="22"/>
  <c r="R61" i="22"/>
  <c r="S61" i="22"/>
  <c r="T61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I64" i="22"/>
  <c r="J64" i="22"/>
  <c r="K64" i="22"/>
  <c r="L64" i="22"/>
  <c r="M64" i="22"/>
  <c r="N64" i="22"/>
  <c r="O64" i="22"/>
  <c r="P64" i="22"/>
  <c r="Q64" i="22"/>
  <c r="R64" i="22"/>
  <c r="S64" i="22"/>
  <c r="T64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I66" i="22"/>
  <c r="J66" i="22"/>
  <c r="K66" i="22"/>
  <c r="L66" i="22"/>
  <c r="M66" i="22"/>
  <c r="N66" i="22"/>
  <c r="O66" i="22"/>
  <c r="P66" i="22"/>
  <c r="Q66" i="22"/>
  <c r="R66" i="22"/>
  <c r="S66" i="22"/>
  <c r="T66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I69" i="22"/>
  <c r="J69" i="22"/>
  <c r="K69" i="22"/>
  <c r="L69" i="22"/>
  <c r="N69" i="22"/>
  <c r="O69" i="22"/>
  <c r="P69" i="22"/>
  <c r="Q69" i="22"/>
  <c r="S69" i="22"/>
  <c r="T69" i="22"/>
  <c r="I70" i="22"/>
  <c r="J70" i="22"/>
  <c r="K70" i="22"/>
  <c r="L70" i="22"/>
  <c r="M70" i="22"/>
  <c r="N70" i="22"/>
  <c r="O70" i="22"/>
  <c r="P70" i="22"/>
  <c r="Q70" i="22"/>
  <c r="R70" i="22"/>
  <c r="T70" i="22"/>
  <c r="I71" i="22"/>
  <c r="J71" i="22"/>
  <c r="K71" i="22"/>
  <c r="L71" i="22"/>
  <c r="M71" i="22"/>
  <c r="N71" i="22"/>
  <c r="O71" i="22"/>
  <c r="P71" i="22"/>
  <c r="Q71" i="22"/>
  <c r="R71" i="22"/>
  <c r="T71" i="22"/>
  <c r="I72" i="22"/>
  <c r="J72" i="22"/>
  <c r="K72" i="22"/>
  <c r="L72" i="22"/>
  <c r="M72" i="22"/>
  <c r="N72" i="22"/>
  <c r="O72" i="22"/>
  <c r="P72" i="22"/>
  <c r="Q72" i="22"/>
  <c r="R72" i="22"/>
  <c r="T72" i="22"/>
  <c r="I73" i="22"/>
  <c r="J73" i="22"/>
  <c r="K73" i="22"/>
  <c r="L73" i="22"/>
  <c r="M73" i="22"/>
  <c r="N73" i="22"/>
  <c r="O73" i="22"/>
  <c r="P73" i="22"/>
  <c r="Q73" i="22"/>
  <c r="S73" i="22"/>
  <c r="T73" i="22"/>
  <c r="I74" i="22"/>
  <c r="J74" i="22"/>
  <c r="K74" i="22"/>
  <c r="L74" i="22"/>
  <c r="M74" i="22"/>
  <c r="N74" i="22"/>
  <c r="O74" i="22"/>
  <c r="P74" i="22"/>
  <c r="Q74" i="22"/>
  <c r="S74" i="22"/>
  <c r="T74" i="22"/>
  <c r="I75" i="22"/>
  <c r="J75" i="22"/>
  <c r="K75" i="22"/>
  <c r="L75" i="22"/>
  <c r="M75" i="22"/>
  <c r="N75" i="22"/>
  <c r="O75" i="22"/>
  <c r="P75" i="22"/>
  <c r="Q75" i="22"/>
  <c r="S75" i="22"/>
  <c r="T75" i="22"/>
  <c r="I76" i="22"/>
  <c r="J76" i="22"/>
  <c r="K76" i="22"/>
  <c r="L76" i="22"/>
  <c r="M76" i="22"/>
  <c r="N76" i="22"/>
  <c r="O76" i="22"/>
  <c r="P76" i="22"/>
  <c r="Q76" i="22"/>
  <c r="S76" i="22"/>
  <c r="T76" i="22"/>
  <c r="I77" i="22"/>
  <c r="J77" i="22"/>
  <c r="K77" i="22"/>
  <c r="L77" i="22"/>
  <c r="M77" i="22"/>
  <c r="N77" i="22"/>
  <c r="O77" i="22"/>
  <c r="P77" i="22"/>
  <c r="Q77" i="22"/>
  <c r="S77" i="22"/>
  <c r="T77" i="22"/>
  <c r="I78" i="22"/>
  <c r="J78" i="22"/>
  <c r="K78" i="22"/>
  <c r="L78" i="22"/>
  <c r="M78" i="22"/>
  <c r="N78" i="22"/>
  <c r="O78" i="22"/>
  <c r="P78" i="22"/>
  <c r="Q78" i="22"/>
  <c r="S78" i="22"/>
  <c r="S101" i="22" s="1"/>
  <c r="T78" i="22"/>
  <c r="J80" i="22"/>
  <c r="K80" i="22"/>
  <c r="L80" i="22"/>
  <c r="M80" i="22"/>
  <c r="N80" i="22"/>
  <c r="O80" i="22"/>
  <c r="P80" i="22"/>
  <c r="Q80" i="22"/>
  <c r="S80" i="22"/>
  <c r="T80" i="22"/>
  <c r="I81" i="22"/>
  <c r="J81" i="22"/>
  <c r="K81" i="22"/>
  <c r="L81" i="22"/>
  <c r="M81" i="22"/>
  <c r="N81" i="22"/>
  <c r="O81" i="22"/>
  <c r="P81" i="22"/>
  <c r="Q81" i="22"/>
  <c r="Q99" i="22" s="1"/>
  <c r="S81" i="22"/>
  <c r="T81" i="22"/>
  <c r="I82" i="22"/>
  <c r="J82" i="22"/>
  <c r="K82" i="22"/>
  <c r="L82" i="22"/>
  <c r="M82" i="22"/>
  <c r="N82" i="22"/>
  <c r="O82" i="22"/>
  <c r="P82" i="22"/>
  <c r="Q82" i="22"/>
  <c r="S82" i="22"/>
  <c r="T82" i="22"/>
  <c r="I83" i="22"/>
  <c r="J83" i="22"/>
  <c r="K83" i="22"/>
  <c r="L83" i="22"/>
  <c r="M83" i="22"/>
  <c r="N83" i="22"/>
  <c r="O83" i="22"/>
  <c r="P83" i="22"/>
  <c r="Q83" i="22"/>
  <c r="S83" i="22"/>
  <c r="S99" i="22" s="1"/>
  <c r="T83" i="22"/>
  <c r="I84" i="22"/>
  <c r="J84" i="22"/>
  <c r="K84" i="22"/>
  <c r="L84" i="22"/>
  <c r="M84" i="22"/>
  <c r="N84" i="22"/>
  <c r="O84" i="22"/>
  <c r="P84" i="22"/>
  <c r="Q84" i="22"/>
  <c r="S84" i="22"/>
  <c r="T84" i="22"/>
  <c r="J36" i="22"/>
  <c r="K36" i="22"/>
  <c r="L36" i="22"/>
  <c r="M36" i="22"/>
  <c r="N36" i="22"/>
  <c r="O36" i="22"/>
  <c r="P36" i="22"/>
  <c r="Q36" i="22"/>
  <c r="R36" i="22"/>
  <c r="S36" i="22"/>
  <c r="T36" i="22"/>
  <c r="I36" i="22"/>
  <c r="AD16" i="6"/>
  <c r="T99" i="22" l="1"/>
  <c r="H70" i="22"/>
  <c r="AH70" i="22" s="1"/>
  <c r="S105" i="22"/>
  <c r="R99" i="22"/>
  <c r="R107" i="22"/>
  <c r="O99" i="22"/>
  <c r="G83" i="22"/>
  <c r="AD85" i="22"/>
  <c r="Z85" i="22"/>
  <c r="O85" i="22"/>
  <c r="O95" i="22" s="1"/>
  <c r="P99" i="22"/>
  <c r="AG36" i="22"/>
  <c r="AG80" i="22"/>
  <c r="AG68" i="22"/>
  <c r="AG76" i="22"/>
  <c r="AG60" i="22"/>
  <c r="AG56" i="22"/>
  <c r="AE85" i="22"/>
  <c r="W85" i="22"/>
  <c r="AG83" i="22"/>
  <c r="AG79" i="22"/>
  <c r="AG75" i="22"/>
  <c r="AG67" i="22"/>
  <c r="AG59" i="22"/>
  <c r="AG55" i="22"/>
  <c r="AG51" i="22"/>
  <c r="AG47" i="22"/>
  <c r="AG43" i="22"/>
  <c r="AG39" i="22"/>
  <c r="AF85" i="22"/>
  <c r="AG84" i="22"/>
  <c r="AG72" i="22"/>
  <c r="AG64" i="22"/>
  <c r="AG52" i="22"/>
  <c r="AG44" i="22"/>
  <c r="AG40" i="22"/>
  <c r="AG82" i="22"/>
  <c r="AG81" i="22"/>
  <c r="AG78" i="22"/>
  <c r="AG77" i="22"/>
  <c r="AG74" i="22"/>
  <c r="AG73" i="22"/>
  <c r="AG66" i="22"/>
  <c r="AG65" i="22"/>
  <c r="AG58" i="22"/>
  <c r="AG57" i="22"/>
  <c r="AG54" i="22"/>
  <c r="AG53" i="22"/>
  <c r="AG49" i="22"/>
  <c r="AG46" i="22"/>
  <c r="AG45" i="22"/>
  <c r="AG42" i="22"/>
  <c r="AG41" i="22"/>
  <c r="AG37" i="22"/>
  <c r="H77" i="22"/>
  <c r="H65" i="22"/>
  <c r="H61" i="22"/>
  <c r="H57" i="22"/>
  <c r="H53" i="22"/>
  <c r="H49" i="22"/>
  <c r="H41" i="22"/>
  <c r="H84" i="22"/>
  <c r="H80" i="22"/>
  <c r="H76" i="22"/>
  <c r="H72" i="22"/>
  <c r="H68" i="22"/>
  <c r="H64" i="22"/>
  <c r="H60" i="22"/>
  <c r="H56" i="22"/>
  <c r="H48" i="22"/>
  <c r="H44" i="22"/>
  <c r="H40" i="22"/>
  <c r="H36" i="22"/>
  <c r="H81" i="22"/>
  <c r="H73" i="22"/>
  <c r="H45" i="22"/>
  <c r="H37" i="22"/>
  <c r="H83" i="22"/>
  <c r="H82" i="22"/>
  <c r="H79" i="22"/>
  <c r="H78" i="22"/>
  <c r="H75" i="22"/>
  <c r="H74" i="22"/>
  <c r="H71" i="22"/>
  <c r="AH71" i="22" s="1"/>
  <c r="H67" i="22"/>
  <c r="H66" i="22"/>
  <c r="H63" i="22"/>
  <c r="H62" i="22"/>
  <c r="H59" i="22"/>
  <c r="H58" i="22"/>
  <c r="H55" i="22"/>
  <c r="H54" i="22"/>
  <c r="H51" i="22"/>
  <c r="H50" i="22"/>
  <c r="H47" i="22"/>
  <c r="H46" i="22"/>
  <c r="AH46" i="22" s="1"/>
  <c r="H43" i="22"/>
  <c r="H42" i="22"/>
  <c r="H39" i="22"/>
  <c r="H38" i="22"/>
  <c r="AH78" i="22" l="1"/>
  <c r="AH77" i="22"/>
  <c r="AH76" i="22"/>
  <c r="AH74" i="22"/>
  <c r="AH59" i="22"/>
  <c r="AH75" i="22"/>
  <c r="AH42" i="22"/>
  <c r="AH82" i="22"/>
  <c r="AH73" i="22"/>
  <c r="AH51" i="22"/>
  <c r="AH36" i="22"/>
  <c r="AH39" i="22"/>
  <c r="AH55" i="22"/>
  <c r="AH64" i="22"/>
  <c r="AH44" i="22"/>
  <c r="AH80" i="22"/>
  <c r="AH43" i="22"/>
  <c r="AH58" i="22"/>
  <c r="AH65" i="22"/>
  <c r="AH37" i="22"/>
  <c r="AH83" i="22"/>
  <c r="AH67" i="22"/>
  <c r="AH45" i="22"/>
  <c r="AH54" i="22"/>
  <c r="AH60" i="22"/>
  <c r="AH56" i="22"/>
  <c r="AH49" i="22"/>
  <c r="AH40" i="22"/>
  <c r="AH68" i="22"/>
  <c r="AH72" i="22"/>
  <c r="AH66" i="22"/>
  <c r="AH53" i="22"/>
  <c r="AH81" i="22"/>
  <c r="AH47" i="22"/>
  <c r="AH79" i="22"/>
  <c r="AI78" i="22" s="1"/>
  <c r="AH84" i="22"/>
  <c r="AH57" i="22"/>
  <c r="AH41" i="22"/>
  <c r="U17" i="22" l="1"/>
  <c r="V17" i="22"/>
  <c r="W17" i="22"/>
  <c r="X17" i="22"/>
  <c r="Y17" i="22"/>
  <c r="Z17" i="22"/>
  <c r="AA17" i="22"/>
  <c r="AB17" i="22"/>
  <c r="AC17" i="22"/>
  <c r="AD17" i="22"/>
  <c r="AE17" i="22"/>
  <c r="AF17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U22" i="22"/>
  <c r="V22" i="22"/>
  <c r="W22" i="22"/>
  <c r="Y22" i="22"/>
  <c r="Z22" i="22"/>
  <c r="AA22" i="22"/>
  <c r="AB22" i="22"/>
  <c r="AC22" i="22"/>
  <c r="AD22" i="22"/>
  <c r="AE22" i="22"/>
  <c r="AF22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U30" i="22"/>
  <c r="V30" i="22"/>
  <c r="W30" i="22"/>
  <c r="X30" i="22"/>
  <c r="Y30" i="22"/>
  <c r="Z30" i="22"/>
  <c r="AA30" i="22"/>
  <c r="AB30" i="22"/>
  <c r="AC30" i="22"/>
  <c r="AD30" i="22"/>
  <c r="AE30" i="22"/>
  <c r="AF30" i="22"/>
  <c r="V16" i="22"/>
  <c r="W16" i="22"/>
  <c r="X16" i="22"/>
  <c r="Y16" i="22"/>
  <c r="Z16" i="22"/>
  <c r="AA16" i="22"/>
  <c r="AB16" i="22"/>
  <c r="AC16" i="22"/>
  <c r="AD16" i="22"/>
  <c r="AE16" i="22"/>
  <c r="AF16" i="22"/>
  <c r="U16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I22" i="22"/>
  <c r="J22" i="22"/>
  <c r="K22" i="22"/>
  <c r="L22" i="22"/>
  <c r="M22" i="22"/>
  <c r="N22" i="22"/>
  <c r="O22" i="22"/>
  <c r="P22" i="22"/>
  <c r="Q22" i="22"/>
  <c r="R22" i="22"/>
  <c r="S22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J16" i="22"/>
  <c r="K16" i="22"/>
  <c r="L16" i="22"/>
  <c r="M16" i="22"/>
  <c r="N16" i="22"/>
  <c r="O16" i="22"/>
  <c r="P16" i="22"/>
  <c r="Q16" i="22"/>
  <c r="R16" i="22"/>
  <c r="R20" i="22" s="1"/>
  <c r="S16" i="22"/>
  <c r="T16" i="22"/>
  <c r="I16" i="22"/>
  <c r="T92" i="22" l="1"/>
  <c r="T31" i="22"/>
  <c r="S93" i="22"/>
  <c r="S92" i="22"/>
  <c r="O20" i="22"/>
  <c r="O91" i="22" s="1"/>
  <c r="S20" i="22"/>
  <c r="S91" i="22" s="1"/>
  <c r="R92" i="22"/>
  <c r="Q20" i="22"/>
  <c r="Q91" i="22" s="1"/>
  <c r="T93" i="22"/>
  <c r="P93" i="22"/>
  <c r="P92" i="22"/>
  <c r="T94" i="22"/>
  <c r="P31" i="22"/>
  <c r="P94" i="22"/>
  <c r="O93" i="22"/>
  <c r="O92" i="22"/>
  <c r="S31" i="22"/>
  <c r="S94" i="22"/>
  <c r="O94" i="22"/>
  <c r="O31" i="22"/>
  <c r="R93" i="22"/>
  <c r="R31" i="22"/>
  <c r="R32" i="22" s="1"/>
  <c r="R94" i="22"/>
  <c r="R91" i="22"/>
  <c r="Q93" i="22"/>
  <c r="Q92" i="22"/>
  <c r="Q94" i="22"/>
  <c r="Q31" i="22"/>
  <c r="T20" i="22"/>
  <c r="P20" i="22"/>
  <c r="O32" i="22" l="1"/>
  <c r="S32" i="22"/>
  <c r="Q32" i="22"/>
  <c r="P91" i="22"/>
  <c r="P32" i="22"/>
  <c r="O96" i="22"/>
  <c r="O97" i="22" s="1"/>
  <c r="O102" i="22" s="1"/>
  <c r="T91" i="22"/>
  <c r="T32" i="22"/>
  <c r="D43" i="2"/>
  <c r="E81" i="3"/>
  <c r="E81" i="4"/>
  <c r="E81" i="6"/>
  <c r="E81" i="9"/>
  <c r="E81" i="11"/>
  <c r="E81" i="12"/>
  <c r="E81" i="2"/>
  <c r="E81" i="7"/>
  <c r="E81" i="19"/>
  <c r="E81" i="10"/>
  <c r="E81" i="13"/>
  <c r="E81" i="5"/>
  <c r="C104" i="1" l="1"/>
  <c r="D104" i="19"/>
  <c r="D103" i="18"/>
  <c r="D105" i="17"/>
  <c r="D103" i="16"/>
  <c r="AC30" i="15" l="1"/>
  <c r="D105" i="15"/>
  <c r="D104" i="13" l="1"/>
  <c r="D104" i="12"/>
  <c r="D104" i="11"/>
  <c r="D104" i="10"/>
  <c r="D104" i="9"/>
  <c r="D104" i="7"/>
  <c r="D104" i="6"/>
  <c r="D104" i="5"/>
  <c r="D105" i="4" l="1"/>
  <c r="D105" i="3" l="1"/>
  <c r="F106" i="19" l="1"/>
  <c r="F107" i="19" s="1"/>
  <c r="D105" i="2"/>
  <c r="AC48" i="19" l="1"/>
  <c r="F79" i="18"/>
  <c r="E79" i="18"/>
  <c r="AC61" i="17"/>
  <c r="AC63" i="22" s="1"/>
  <c r="AG63" i="22" s="1"/>
  <c r="AH63" i="22" s="1"/>
  <c r="AC60" i="17"/>
  <c r="AC60" i="15"/>
  <c r="AC60" i="13"/>
  <c r="AC36" i="11"/>
  <c r="AC48" i="9"/>
  <c r="AC48" i="6"/>
  <c r="AC36" i="2"/>
  <c r="AC38" i="22" l="1"/>
  <c r="AC85" i="22" s="1"/>
  <c r="AC62" i="22"/>
  <c r="AC50" i="22"/>
  <c r="D58" i="18"/>
  <c r="E58" i="18" s="1"/>
  <c r="AZ39" i="15" l="1"/>
  <c r="BA39" i="15" s="1"/>
  <c r="BA38" i="15" l="1"/>
  <c r="F79" i="15"/>
  <c r="E79" i="15"/>
  <c r="F58" i="6"/>
  <c r="E58" i="6"/>
  <c r="D77" i="22" l="1"/>
  <c r="D78" i="22"/>
  <c r="D80" i="22"/>
  <c r="D81" i="22"/>
  <c r="D45" i="14" l="1"/>
  <c r="F79" i="13"/>
  <c r="E79" i="13"/>
  <c r="AG20" i="4" l="1"/>
  <c r="AW35" i="15" l="1"/>
  <c r="AW34" i="15"/>
  <c r="AO83" i="3" l="1"/>
  <c r="AP83" i="3"/>
  <c r="AQ83" i="3"/>
  <c r="AR83" i="3"/>
  <c r="AN83" i="3"/>
  <c r="AB36" i="15" l="1"/>
  <c r="AB38" i="22" s="1"/>
  <c r="AB48" i="12"/>
  <c r="AB48" i="10"/>
  <c r="AB83" i="10" s="1"/>
  <c r="AB48" i="4"/>
  <c r="AB60" i="2"/>
  <c r="AG62" i="22" l="1"/>
  <c r="AH62" i="22" s="1"/>
  <c r="AB62" i="22"/>
  <c r="AB50" i="22"/>
  <c r="AG50" i="22" s="1"/>
  <c r="AH50" i="22" s="1"/>
  <c r="AB85" i="22"/>
  <c r="AG38" i="22"/>
  <c r="AH38" i="22" s="1"/>
  <c r="F67" i="15"/>
  <c r="E67" i="15"/>
  <c r="F77" i="13" l="1"/>
  <c r="E77" i="13"/>
  <c r="H76" i="3"/>
  <c r="D48" i="4" l="1"/>
  <c r="F79" i="5"/>
  <c r="E79" i="5"/>
  <c r="G67" i="17"/>
  <c r="G67" i="5"/>
  <c r="F79" i="12"/>
  <c r="E79" i="12"/>
  <c r="F79" i="10"/>
  <c r="E79" i="10"/>
  <c r="D48" i="10"/>
  <c r="AW78" i="2"/>
  <c r="AW79" i="2"/>
  <c r="AW80" i="2"/>
  <c r="AW81" i="2"/>
  <c r="AW82" i="2"/>
  <c r="AW78" i="3"/>
  <c r="AW79" i="3"/>
  <c r="AW80" i="3"/>
  <c r="AW81" i="3"/>
  <c r="AW82" i="3"/>
  <c r="AW78" i="4"/>
  <c r="AW79" i="4"/>
  <c r="AW80" i="4"/>
  <c r="AW81" i="4"/>
  <c r="AW82" i="4"/>
  <c r="AW78" i="5"/>
  <c r="AW79" i="5"/>
  <c r="AW80" i="5"/>
  <c r="AW81" i="5"/>
  <c r="AW82" i="5"/>
  <c r="AW78" i="6"/>
  <c r="AW79" i="6"/>
  <c r="AW80" i="6"/>
  <c r="AW81" i="6"/>
  <c r="AW82" i="6"/>
  <c r="AW78" i="14"/>
  <c r="AW79" i="14"/>
  <c r="AW80" i="14"/>
  <c r="AW81" i="14"/>
  <c r="AW82" i="14"/>
  <c r="AW78" i="7"/>
  <c r="AW79" i="7"/>
  <c r="AW80" i="7"/>
  <c r="AW81" i="7"/>
  <c r="AW82" i="7"/>
  <c r="AW78" i="9"/>
  <c r="AW79" i="9"/>
  <c r="AW80" i="9"/>
  <c r="AW81" i="9"/>
  <c r="AW82" i="9"/>
  <c r="AW78" i="10"/>
  <c r="AW79" i="10"/>
  <c r="AW80" i="10"/>
  <c r="AW81" i="10"/>
  <c r="AW82" i="10"/>
  <c r="AW78" i="11"/>
  <c r="AW79" i="11"/>
  <c r="AW80" i="11"/>
  <c r="AW81" i="11"/>
  <c r="AW82" i="11"/>
  <c r="AW78" i="12"/>
  <c r="AW79" i="12"/>
  <c r="AW80" i="12"/>
  <c r="AW81" i="12"/>
  <c r="AW82" i="12"/>
  <c r="AW78" i="13"/>
  <c r="AW79" i="13"/>
  <c r="AW80" i="13"/>
  <c r="AW81" i="13"/>
  <c r="AW82" i="13"/>
  <c r="AW78" i="15"/>
  <c r="AW79" i="15"/>
  <c r="AW80" i="15"/>
  <c r="AW81" i="15"/>
  <c r="AW82" i="15"/>
  <c r="AW78" i="16"/>
  <c r="AW79" i="16"/>
  <c r="AW80" i="16"/>
  <c r="AW81" i="16"/>
  <c r="AW82" i="16"/>
  <c r="AW78" i="17"/>
  <c r="AW79" i="17"/>
  <c r="AW80" i="17"/>
  <c r="AW81" i="17"/>
  <c r="AW82" i="17"/>
  <c r="AW78" i="18"/>
  <c r="AW79" i="18"/>
  <c r="AW80" i="18"/>
  <c r="AW81" i="18"/>
  <c r="AW82" i="18"/>
  <c r="AW78" i="19"/>
  <c r="AW79" i="19"/>
  <c r="AW80" i="19"/>
  <c r="AW81" i="19"/>
  <c r="AW82" i="19"/>
  <c r="AW80" i="22"/>
  <c r="AW81" i="22"/>
  <c r="AW82" i="22"/>
  <c r="AW83" i="22"/>
  <c r="AW84" i="22"/>
  <c r="AW78" i="1"/>
  <c r="AW79" i="1"/>
  <c r="AW80" i="1"/>
  <c r="AW81" i="1"/>
  <c r="AW82" i="1"/>
  <c r="AG78" i="2"/>
  <c r="AG79" i="2"/>
  <c r="AG80" i="2"/>
  <c r="AG81" i="2"/>
  <c r="AG82" i="2"/>
  <c r="AG78" i="3"/>
  <c r="AX78" i="3" s="1"/>
  <c r="AG79" i="3"/>
  <c r="AG80" i="3"/>
  <c r="AG81" i="3"/>
  <c r="AG82" i="3"/>
  <c r="AX82" i="3" s="1"/>
  <c r="AG78" i="4"/>
  <c r="AG79" i="4"/>
  <c r="AG80" i="4"/>
  <c r="AG81" i="4"/>
  <c r="AX81" i="4" s="1"/>
  <c r="AG82" i="4"/>
  <c r="AG78" i="5"/>
  <c r="AG79" i="5"/>
  <c r="AG80" i="5"/>
  <c r="AX80" i="5" s="1"/>
  <c r="AG81" i="5"/>
  <c r="AG82" i="5"/>
  <c r="AG78" i="6"/>
  <c r="AG79" i="6"/>
  <c r="AX79" i="6" s="1"/>
  <c r="AG80" i="6"/>
  <c r="AG81" i="6"/>
  <c r="AG82" i="6"/>
  <c r="AG78" i="14"/>
  <c r="AX78" i="14" s="1"/>
  <c r="AG79" i="14"/>
  <c r="AG80" i="14"/>
  <c r="AG81" i="14"/>
  <c r="AG82" i="14"/>
  <c r="AX82" i="14" s="1"/>
  <c r="AG78" i="7"/>
  <c r="AG79" i="7"/>
  <c r="AG80" i="7"/>
  <c r="AG81" i="7"/>
  <c r="AG82" i="7"/>
  <c r="AG78" i="9"/>
  <c r="AG79" i="9"/>
  <c r="AG80" i="9"/>
  <c r="AX80" i="9" s="1"/>
  <c r="AG81" i="9"/>
  <c r="AX81" i="9" s="1"/>
  <c r="AG82" i="9"/>
  <c r="AG78" i="10"/>
  <c r="AG79" i="10"/>
  <c r="AX79" i="10" s="1"/>
  <c r="AG80" i="10"/>
  <c r="AX80" i="10" s="1"/>
  <c r="AG81" i="10"/>
  <c r="AG82" i="10"/>
  <c r="AG78" i="11"/>
  <c r="AX78" i="11" s="1"/>
  <c r="AG79" i="11"/>
  <c r="AX79" i="11" s="1"/>
  <c r="AG80" i="11"/>
  <c r="AG81" i="11"/>
  <c r="AG82" i="11"/>
  <c r="AX82" i="11" s="1"/>
  <c r="AG78" i="12"/>
  <c r="AG79" i="12"/>
  <c r="AG80" i="12"/>
  <c r="AG81" i="12"/>
  <c r="AX81" i="12" s="1"/>
  <c r="AG82" i="12"/>
  <c r="AX82" i="12" s="1"/>
  <c r="AG78" i="13"/>
  <c r="AG79" i="13"/>
  <c r="AG80" i="13"/>
  <c r="AX80" i="13" s="1"/>
  <c r="AG81" i="13"/>
  <c r="AG82" i="13"/>
  <c r="AG78" i="15"/>
  <c r="AG79" i="15"/>
  <c r="AX79" i="15" s="1"/>
  <c r="AG80" i="15"/>
  <c r="AG81" i="15"/>
  <c r="AG82" i="15"/>
  <c r="AG78" i="16"/>
  <c r="AX78" i="16" s="1"/>
  <c r="AG79" i="16"/>
  <c r="AG80" i="16"/>
  <c r="AG81" i="16"/>
  <c r="AG82" i="16"/>
  <c r="AX82" i="16" s="1"/>
  <c r="AG78" i="17"/>
  <c r="AG79" i="17"/>
  <c r="AG80" i="17"/>
  <c r="AG81" i="17"/>
  <c r="AX81" i="17" s="1"/>
  <c r="AG82" i="17"/>
  <c r="AG78" i="18"/>
  <c r="AG79" i="18"/>
  <c r="AG80" i="18"/>
  <c r="AX80" i="18" s="1"/>
  <c r="AG81" i="18"/>
  <c r="AG82" i="18"/>
  <c r="AG78" i="19"/>
  <c r="AG79" i="19"/>
  <c r="AX79" i="19" s="1"/>
  <c r="AG80" i="19"/>
  <c r="AG81" i="19"/>
  <c r="AG82" i="19"/>
  <c r="AX80" i="22"/>
  <c r="AG78" i="1"/>
  <c r="AG79" i="1"/>
  <c r="AG80" i="1"/>
  <c r="AG81" i="1"/>
  <c r="AG82" i="1"/>
  <c r="H78" i="2"/>
  <c r="H79" i="2"/>
  <c r="H80" i="2"/>
  <c r="AH80" i="2" s="1"/>
  <c r="H81" i="2"/>
  <c r="H82" i="2"/>
  <c r="H78" i="3"/>
  <c r="H79" i="3"/>
  <c r="AH79" i="3" s="1"/>
  <c r="H80" i="3"/>
  <c r="AH80" i="3" s="1"/>
  <c r="H81" i="3"/>
  <c r="H82" i="3"/>
  <c r="H78" i="4"/>
  <c r="AH78" i="4" s="1"/>
  <c r="H79" i="4"/>
  <c r="AH79" i="4" s="1"/>
  <c r="H80" i="4"/>
  <c r="H81" i="4"/>
  <c r="H82" i="4"/>
  <c r="AH82" i="4" s="1"/>
  <c r="H78" i="5"/>
  <c r="AH78" i="5" s="1"/>
  <c r="H79" i="5"/>
  <c r="H80" i="5"/>
  <c r="H81" i="5"/>
  <c r="AH81" i="5" s="1"/>
  <c r="H82" i="5"/>
  <c r="AH82" i="5" s="1"/>
  <c r="H78" i="6"/>
  <c r="H79" i="6"/>
  <c r="H80" i="6"/>
  <c r="H81" i="6"/>
  <c r="AH81" i="6" s="1"/>
  <c r="H82" i="6"/>
  <c r="H78" i="14"/>
  <c r="H79" i="14"/>
  <c r="AH79" i="14" s="1"/>
  <c r="H80" i="14"/>
  <c r="AH80" i="14" s="1"/>
  <c r="H81" i="14"/>
  <c r="H82" i="14"/>
  <c r="H78" i="7"/>
  <c r="H79" i="7"/>
  <c r="H80" i="7"/>
  <c r="H81" i="7"/>
  <c r="H82" i="7"/>
  <c r="H78" i="9"/>
  <c r="AH78" i="9" s="1"/>
  <c r="H79" i="9"/>
  <c r="H80" i="9"/>
  <c r="H81" i="9"/>
  <c r="AH81" i="9" s="1"/>
  <c r="H82" i="9"/>
  <c r="AH82" i="9" s="1"/>
  <c r="H78" i="10"/>
  <c r="H79" i="10"/>
  <c r="H80" i="10"/>
  <c r="AH80" i="10" s="1"/>
  <c r="H81" i="10"/>
  <c r="AH81" i="10" s="1"/>
  <c r="H82" i="10"/>
  <c r="H78" i="11"/>
  <c r="H79" i="11"/>
  <c r="AH79" i="11" s="1"/>
  <c r="H80" i="11"/>
  <c r="AH80" i="11" s="1"/>
  <c r="H81" i="11"/>
  <c r="H82" i="11"/>
  <c r="H78" i="12"/>
  <c r="AH78" i="12" s="1"/>
  <c r="H79" i="12"/>
  <c r="AH79" i="12" s="1"/>
  <c r="H80" i="12"/>
  <c r="H81" i="12"/>
  <c r="H82" i="12"/>
  <c r="AH82" i="12" s="1"/>
  <c r="H78" i="13"/>
  <c r="AH78" i="13" s="1"/>
  <c r="H79" i="13"/>
  <c r="H80" i="13"/>
  <c r="H81" i="13"/>
  <c r="AH81" i="13" s="1"/>
  <c r="H82" i="13"/>
  <c r="AH82" i="13" s="1"/>
  <c r="H78" i="15"/>
  <c r="H79" i="15"/>
  <c r="H80" i="15"/>
  <c r="AH80" i="15" s="1"/>
  <c r="H81" i="15"/>
  <c r="AH81" i="15" s="1"/>
  <c r="H82" i="15"/>
  <c r="H78" i="16"/>
  <c r="H79" i="16"/>
  <c r="AH79" i="16" s="1"/>
  <c r="H80" i="16"/>
  <c r="AH80" i="16" s="1"/>
  <c r="H81" i="16"/>
  <c r="H82" i="16"/>
  <c r="H78" i="17"/>
  <c r="AH78" i="17" s="1"/>
  <c r="H79" i="17"/>
  <c r="AH79" i="17" s="1"/>
  <c r="H80" i="17"/>
  <c r="H81" i="17"/>
  <c r="H82" i="17"/>
  <c r="AH82" i="17" s="1"/>
  <c r="H78" i="18"/>
  <c r="AH78" i="18" s="1"/>
  <c r="H79" i="18"/>
  <c r="H80" i="18"/>
  <c r="H81" i="18"/>
  <c r="AH81" i="18" s="1"/>
  <c r="H82" i="18"/>
  <c r="AH82" i="18" s="1"/>
  <c r="H78" i="19"/>
  <c r="H79" i="19"/>
  <c r="H80" i="19"/>
  <c r="AH80" i="19" s="1"/>
  <c r="H81" i="19"/>
  <c r="AH81" i="19" s="1"/>
  <c r="H82" i="19"/>
  <c r="H78" i="1"/>
  <c r="AH78" i="1" s="1"/>
  <c r="H79" i="1"/>
  <c r="AH79" i="1" s="1"/>
  <c r="H80" i="1"/>
  <c r="H81" i="1"/>
  <c r="H82" i="1"/>
  <c r="F79" i="3"/>
  <c r="E79" i="3"/>
  <c r="E81" i="16"/>
  <c r="AH79" i="19" l="1"/>
  <c r="AH81" i="17"/>
  <c r="AH78" i="16"/>
  <c r="AH80" i="13"/>
  <c r="AH78" i="11"/>
  <c r="AH80" i="9"/>
  <c r="AH79" i="6"/>
  <c r="AH79" i="2"/>
  <c r="AH82" i="19"/>
  <c r="AH78" i="19"/>
  <c r="AH79" i="18"/>
  <c r="AH80" i="17"/>
  <c r="AH81" i="16"/>
  <c r="AH82" i="15"/>
  <c r="AH78" i="15"/>
  <c r="AH79" i="13"/>
  <c r="AH80" i="12"/>
  <c r="AH81" i="11"/>
  <c r="AH82" i="10"/>
  <c r="AH78" i="10"/>
  <c r="AH79" i="9"/>
  <c r="AH80" i="7"/>
  <c r="AH81" i="14"/>
  <c r="AH82" i="6"/>
  <c r="AH78" i="6"/>
  <c r="AH79" i="5"/>
  <c r="AH80" i="4"/>
  <c r="AH81" i="3"/>
  <c r="AH82" i="2"/>
  <c r="AH78" i="2"/>
  <c r="AX81" i="19"/>
  <c r="AX82" i="18"/>
  <c r="AX79" i="17"/>
  <c r="AX80" i="16"/>
  <c r="AX81" i="15"/>
  <c r="AX82" i="13"/>
  <c r="AX78" i="13"/>
  <c r="AX80" i="11"/>
  <c r="AX81" i="10"/>
  <c r="AX82" i="9"/>
  <c r="AX78" i="9"/>
  <c r="AX79" i="7"/>
  <c r="AX80" i="14"/>
  <c r="AX78" i="5"/>
  <c r="AX79" i="4"/>
  <c r="AX80" i="3"/>
  <c r="AX81" i="2"/>
  <c r="AH80" i="18"/>
  <c r="AH79" i="15"/>
  <c r="AH81" i="12"/>
  <c r="AH79" i="10"/>
  <c r="AH80" i="5"/>
  <c r="AH81" i="4"/>
  <c r="AH78" i="3"/>
  <c r="AH80" i="1"/>
  <c r="AH80" i="6"/>
  <c r="AX79" i="2"/>
  <c r="AX81" i="6"/>
  <c r="AH79" i="7"/>
  <c r="AX82" i="7"/>
  <c r="AH82" i="7"/>
  <c r="AH78" i="7"/>
  <c r="AX81" i="7"/>
  <c r="AH81" i="7"/>
  <c r="AX79" i="12"/>
  <c r="AH81" i="2"/>
  <c r="AX78" i="18"/>
  <c r="AX79" i="1"/>
  <c r="AH82" i="14"/>
  <c r="AH78" i="14"/>
  <c r="AH82" i="3"/>
  <c r="AX81" i="11"/>
  <c r="AX82" i="10"/>
  <c r="AX78" i="10"/>
  <c r="AX79" i="9"/>
  <c r="AH82" i="16"/>
  <c r="AH81" i="1"/>
  <c r="AH82" i="11"/>
  <c r="AX78" i="19"/>
  <c r="AX82" i="15"/>
  <c r="AX81" i="13"/>
  <c r="AX78" i="6"/>
  <c r="AX78" i="2"/>
  <c r="AX80" i="19"/>
  <c r="AX78" i="15"/>
  <c r="AX78" i="12"/>
  <c r="AX80" i="6"/>
  <c r="AX80" i="4"/>
  <c r="AX80" i="2"/>
  <c r="AX83" i="22"/>
  <c r="AX82" i="19"/>
  <c r="AX81" i="18"/>
  <c r="AX80" i="12"/>
  <c r="AX78" i="7"/>
  <c r="AX82" i="6"/>
  <c r="AX82" i="4"/>
  <c r="AX82" i="2"/>
  <c r="AX80" i="15"/>
  <c r="AX80" i="7"/>
  <c r="AX78" i="4"/>
  <c r="AX82" i="5"/>
  <c r="AX79" i="14"/>
  <c r="AX81" i="14"/>
  <c r="AX79" i="5"/>
  <c r="AX81" i="5"/>
  <c r="AX81" i="22"/>
  <c r="AX79" i="18"/>
  <c r="AX79" i="13"/>
  <c r="AX79" i="3"/>
  <c r="AX79" i="16"/>
  <c r="AX81" i="16"/>
  <c r="AX82" i="1"/>
  <c r="AX81" i="1"/>
  <c r="AX80" i="1"/>
  <c r="AH82" i="1"/>
  <c r="AX80" i="17"/>
  <c r="AX82" i="17"/>
  <c r="AX78" i="17"/>
  <c r="AX78" i="1"/>
  <c r="AX81" i="3"/>
  <c r="G67" i="16"/>
  <c r="G67" i="7" l="1"/>
  <c r="G67" i="13"/>
  <c r="D83" i="13"/>
  <c r="G67" i="2"/>
  <c r="G67" i="11"/>
  <c r="G67" i="18" l="1"/>
  <c r="G67" i="4"/>
  <c r="G67" i="6"/>
  <c r="G67" i="3"/>
  <c r="G67" i="9"/>
  <c r="D83" i="9"/>
  <c r="G67" i="10"/>
  <c r="D63" i="17" l="1"/>
  <c r="G67" i="15"/>
  <c r="F79" i="4"/>
  <c r="E79" i="4"/>
  <c r="AA59" i="3" l="1"/>
  <c r="AA61" i="22" s="1"/>
  <c r="AA85" i="22" l="1"/>
  <c r="AG61" i="22"/>
  <c r="AH61" i="22" s="1"/>
  <c r="F77" i="4"/>
  <c r="E77" i="4"/>
  <c r="F77" i="12"/>
  <c r="E77" i="12"/>
  <c r="D77" i="12"/>
  <c r="F77" i="19"/>
  <c r="E77" i="19"/>
  <c r="D77" i="19"/>
  <c r="O30" i="3" l="1"/>
  <c r="H27" i="3"/>
  <c r="H28" i="3"/>
  <c r="H27" i="4"/>
  <c r="H28" i="4"/>
  <c r="H27" i="5"/>
  <c r="H28" i="5"/>
  <c r="H27" i="6"/>
  <c r="H28" i="6"/>
  <c r="H27" i="7"/>
  <c r="H28" i="7"/>
  <c r="H27" i="9"/>
  <c r="H28" i="9"/>
  <c r="H27" i="10"/>
  <c r="H28" i="10"/>
  <c r="H27" i="11"/>
  <c r="H28" i="11"/>
  <c r="H27" i="12"/>
  <c r="H28" i="12"/>
  <c r="H27" i="13"/>
  <c r="H28" i="13"/>
  <c r="H27" i="15"/>
  <c r="H28" i="15"/>
  <c r="H27" i="17"/>
  <c r="H28" i="17"/>
  <c r="H28" i="22"/>
  <c r="H30" i="22"/>
  <c r="H27" i="1"/>
  <c r="H28" i="1"/>
  <c r="AG27" i="3"/>
  <c r="AH27" i="3" s="1"/>
  <c r="AG28" i="3"/>
  <c r="AH28" i="3" s="1"/>
  <c r="AG27" i="4"/>
  <c r="AH27" i="4" s="1"/>
  <c r="AG28" i="4"/>
  <c r="AG27" i="5"/>
  <c r="AG28" i="5"/>
  <c r="AH28" i="5" s="1"/>
  <c r="AG27" i="6"/>
  <c r="AH27" i="6" s="1"/>
  <c r="AG28" i="6"/>
  <c r="AG27" i="14"/>
  <c r="AH27" i="14" s="1"/>
  <c r="AG28" i="14"/>
  <c r="AH28" i="14" s="1"/>
  <c r="AG27" i="7"/>
  <c r="AG28" i="7"/>
  <c r="AG27" i="9"/>
  <c r="AG28" i="9"/>
  <c r="AG27" i="10"/>
  <c r="AG28" i="10"/>
  <c r="AG27" i="11"/>
  <c r="AH27" i="11" s="1"/>
  <c r="AG28" i="11"/>
  <c r="AG27" i="12"/>
  <c r="AG28" i="12"/>
  <c r="AG27" i="13"/>
  <c r="AH27" i="13" s="1"/>
  <c r="AG28" i="13"/>
  <c r="AG27" i="15"/>
  <c r="AG28" i="15"/>
  <c r="AG27" i="17"/>
  <c r="AG28" i="17"/>
  <c r="AG27" i="18"/>
  <c r="AG28" i="18"/>
  <c r="AG28" i="22"/>
  <c r="AH28" i="22" s="1"/>
  <c r="AG30" i="22"/>
  <c r="AG27" i="1"/>
  <c r="AG28" i="1"/>
  <c r="AB30" i="2"/>
  <c r="AC30" i="2"/>
  <c r="AD30" i="2"/>
  <c r="AE30" i="2"/>
  <c r="AF30" i="2"/>
  <c r="AB30" i="3"/>
  <c r="AC30" i="3"/>
  <c r="AD30" i="3"/>
  <c r="AE30" i="3"/>
  <c r="AF30" i="3"/>
  <c r="AB30" i="4"/>
  <c r="AC30" i="4"/>
  <c r="AD30" i="4"/>
  <c r="AE30" i="4"/>
  <c r="AF30" i="4"/>
  <c r="AB30" i="5"/>
  <c r="AC30" i="5"/>
  <c r="AD30" i="5"/>
  <c r="AE30" i="5"/>
  <c r="AF30" i="5"/>
  <c r="AB30" i="6"/>
  <c r="AC30" i="6"/>
  <c r="AD30" i="6"/>
  <c r="AE30" i="6"/>
  <c r="AF30" i="6"/>
  <c r="AB30" i="14"/>
  <c r="AC30" i="14"/>
  <c r="AD30" i="14"/>
  <c r="AE30" i="14"/>
  <c r="AF30" i="14"/>
  <c r="AB30" i="7"/>
  <c r="AC30" i="7"/>
  <c r="AD30" i="7"/>
  <c r="AE30" i="7"/>
  <c r="AF30" i="7"/>
  <c r="AB30" i="9"/>
  <c r="AC30" i="9"/>
  <c r="AD30" i="9"/>
  <c r="AE30" i="9"/>
  <c r="AF30" i="9"/>
  <c r="AB30" i="10"/>
  <c r="AC30" i="10"/>
  <c r="AD30" i="10"/>
  <c r="AE30" i="10"/>
  <c r="AF30" i="10"/>
  <c r="AB30" i="11"/>
  <c r="AC30" i="11"/>
  <c r="AD30" i="11"/>
  <c r="AE30" i="11"/>
  <c r="AF30" i="11"/>
  <c r="AB30" i="12"/>
  <c r="AC30" i="12"/>
  <c r="AD30" i="12"/>
  <c r="AE30" i="12"/>
  <c r="AF30" i="12"/>
  <c r="AB30" i="13"/>
  <c r="AC30" i="13"/>
  <c r="AD30" i="13"/>
  <c r="AE30" i="13"/>
  <c r="AF30" i="13"/>
  <c r="AB30" i="15"/>
  <c r="AD30" i="15"/>
  <c r="AE30" i="15"/>
  <c r="AF30" i="15"/>
  <c r="AB30" i="16"/>
  <c r="AC30" i="16"/>
  <c r="AD30" i="16"/>
  <c r="AE30" i="16"/>
  <c r="AF30" i="16"/>
  <c r="AB30" i="17"/>
  <c r="AC30" i="17"/>
  <c r="AD30" i="17"/>
  <c r="AE30" i="17"/>
  <c r="AF30" i="17"/>
  <c r="AB30" i="18"/>
  <c r="AC30" i="18"/>
  <c r="AD30" i="18"/>
  <c r="AE30" i="18"/>
  <c r="AF30" i="18"/>
  <c r="AB30" i="19"/>
  <c r="AC30" i="19"/>
  <c r="AD30" i="19"/>
  <c r="AE30" i="19"/>
  <c r="AF30" i="19"/>
  <c r="AB30" i="1"/>
  <c r="AC30" i="1"/>
  <c r="AD30" i="1"/>
  <c r="AE30" i="1"/>
  <c r="AF30" i="1"/>
  <c r="W30" i="2"/>
  <c r="Y30" i="2"/>
  <c r="Z30" i="2"/>
  <c r="AA30" i="2"/>
  <c r="W30" i="3"/>
  <c r="Y30" i="3"/>
  <c r="Z30" i="3"/>
  <c r="AA30" i="3"/>
  <c r="W30" i="4"/>
  <c r="Y30" i="4"/>
  <c r="Z30" i="4"/>
  <c r="AA30" i="4"/>
  <c r="W30" i="5"/>
  <c r="X30" i="5"/>
  <c r="Y30" i="5"/>
  <c r="Z30" i="5"/>
  <c r="AA30" i="5"/>
  <c r="W30" i="6"/>
  <c r="X30" i="6"/>
  <c r="Y30" i="6"/>
  <c r="Z30" i="6"/>
  <c r="AA30" i="6"/>
  <c r="W30" i="14"/>
  <c r="X30" i="14"/>
  <c r="Y30" i="14"/>
  <c r="Z30" i="14"/>
  <c r="AA30" i="14"/>
  <c r="W30" i="7"/>
  <c r="X30" i="7"/>
  <c r="Y30" i="7"/>
  <c r="Z30" i="7"/>
  <c r="AA30" i="7"/>
  <c r="W30" i="9"/>
  <c r="X30" i="9"/>
  <c r="Y30" i="9"/>
  <c r="Z30" i="9"/>
  <c r="AA30" i="9"/>
  <c r="W30" i="10"/>
  <c r="X30" i="10"/>
  <c r="Y30" i="10"/>
  <c r="Z30" i="10"/>
  <c r="AA30" i="10"/>
  <c r="W30" i="11"/>
  <c r="X30" i="11"/>
  <c r="Y30" i="11"/>
  <c r="Z30" i="11"/>
  <c r="AA30" i="11"/>
  <c r="W30" i="12"/>
  <c r="X30" i="12"/>
  <c r="Y30" i="12"/>
  <c r="Z30" i="12"/>
  <c r="AA30" i="12"/>
  <c r="W30" i="13"/>
  <c r="X30" i="13"/>
  <c r="Y30" i="13"/>
  <c r="Z30" i="13"/>
  <c r="AA30" i="13"/>
  <c r="W30" i="15"/>
  <c r="X30" i="15"/>
  <c r="Y30" i="15"/>
  <c r="Z30" i="15"/>
  <c r="AA30" i="15"/>
  <c r="W30" i="16"/>
  <c r="X30" i="16"/>
  <c r="Y30" i="16"/>
  <c r="Z30" i="16"/>
  <c r="AA30" i="16"/>
  <c r="W30" i="17"/>
  <c r="X30" i="17"/>
  <c r="Y30" i="17"/>
  <c r="Z30" i="17"/>
  <c r="AA30" i="17"/>
  <c r="W30" i="18"/>
  <c r="X30" i="18"/>
  <c r="Y30" i="18"/>
  <c r="Z30" i="18"/>
  <c r="AA30" i="18"/>
  <c r="W30" i="19"/>
  <c r="X30" i="19"/>
  <c r="Y30" i="19"/>
  <c r="Z30" i="19"/>
  <c r="AA30" i="19"/>
  <c r="W30" i="1"/>
  <c r="X30" i="1"/>
  <c r="Y30" i="1"/>
  <c r="Z30" i="1"/>
  <c r="AA30" i="1"/>
  <c r="V30" i="2"/>
  <c r="V30" i="3"/>
  <c r="V30" i="4"/>
  <c r="V30" i="5"/>
  <c r="V30" i="6"/>
  <c r="V30" i="14"/>
  <c r="V30" i="7"/>
  <c r="V30" i="9"/>
  <c r="V30" i="10"/>
  <c r="V30" i="11"/>
  <c r="V30" i="12"/>
  <c r="V30" i="13"/>
  <c r="V30" i="15"/>
  <c r="V30" i="16"/>
  <c r="V30" i="17"/>
  <c r="V30" i="18"/>
  <c r="V30" i="19"/>
  <c r="V30" i="1"/>
  <c r="U30" i="2"/>
  <c r="U30" i="3"/>
  <c r="U30" i="4"/>
  <c r="U30" i="5"/>
  <c r="U30" i="6"/>
  <c r="U30" i="14"/>
  <c r="U30" i="7"/>
  <c r="U30" i="9"/>
  <c r="U30" i="10"/>
  <c r="U30" i="11"/>
  <c r="U30" i="12"/>
  <c r="U30" i="13"/>
  <c r="U30" i="15"/>
  <c r="U30" i="16"/>
  <c r="U30" i="17"/>
  <c r="U30" i="18"/>
  <c r="U30" i="19"/>
  <c r="U30" i="1"/>
  <c r="P30" i="2"/>
  <c r="Q30" i="2"/>
  <c r="R30" i="2"/>
  <c r="S30" i="2"/>
  <c r="T30" i="2"/>
  <c r="P30" i="3"/>
  <c r="Q30" i="3"/>
  <c r="R30" i="3"/>
  <c r="S30" i="3"/>
  <c r="T30" i="3"/>
  <c r="P30" i="4"/>
  <c r="Q30" i="4"/>
  <c r="R30" i="4"/>
  <c r="S30" i="4"/>
  <c r="T30" i="4"/>
  <c r="P30" i="5"/>
  <c r="Q30" i="5"/>
  <c r="R30" i="5"/>
  <c r="S30" i="5"/>
  <c r="T30" i="5"/>
  <c r="P30" i="6"/>
  <c r="Q30" i="6"/>
  <c r="R30" i="6"/>
  <c r="S30" i="6"/>
  <c r="T30" i="6"/>
  <c r="P30" i="14"/>
  <c r="Q30" i="14"/>
  <c r="R30" i="14"/>
  <c r="S30" i="14"/>
  <c r="T30" i="14"/>
  <c r="P30" i="7"/>
  <c r="Q30" i="7"/>
  <c r="R30" i="7"/>
  <c r="S30" i="7"/>
  <c r="T30" i="7"/>
  <c r="P30" i="9"/>
  <c r="Q30" i="9"/>
  <c r="R30" i="9"/>
  <c r="S30" i="9"/>
  <c r="T30" i="9"/>
  <c r="P30" i="10"/>
  <c r="Q30" i="10"/>
  <c r="R30" i="10"/>
  <c r="S30" i="10"/>
  <c r="T30" i="10"/>
  <c r="P30" i="11"/>
  <c r="Q30" i="11"/>
  <c r="R30" i="11"/>
  <c r="S30" i="11"/>
  <c r="T30" i="11"/>
  <c r="P30" i="12"/>
  <c r="Q30" i="12"/>
  <c r="S30" i="12"/>
  <c r="T30" i="12"/>
  <c r="P30" i="13"/>
  <c r="Q30" i="13"/>
  <c r="R30" i="13"/>
  <c r="S30" i="13"/>
  <c r="T30" i="13"/>
  <c r="P30" i="15"/>
  <c r="Q30" i="15"/>
  <c r="R30" i="15"/>
  <c r="S30" i="15"/>
  <c r="T30" i="15"/>
  <c r="P30" i="16"/>
  <c r="Q30" i="16"/>
  <c r="R30" i="16"/>
  <c r="S30" i="16"/>
  <c r="T30" i="16"/>
  <c r="P30" i="17"/>
  <c r="Q30" i="17"/>
  <c r="R30" i="17"/>
  <c r="S30" i="17"/>
  <c r="T30" i="17"/>
  <c r="P30" i="18"/>
  <c r="Q30" i="18"/>
  <c r="R30" i="18"/>
  <c r="S30" i="18"/>
  <c r="T30" i="18"/>
  <c r="P30" i="19"/>
  <c r="Q30" i="19"/>
  <c r="R30" i="19"/>
  <c r="S30" i="19"/>
  <c r="T30" i="19"/>
  <c r="P30" i="1"/>
  <c r="Q30" i="1"/>
  <c r="R30" i="1"/>
  <c r="S30" i="1"/>
  <c r="T30" i="1"/>
  <c r="J30" i="2"/>
  <c r="K30" i="2"/>
  <c r="L30" i="2"/>
  <c r="M30" i="2"/>
  <c r="N30" i="2"/>
  <c r="O30" i="2"/>
  <c r="J30" i="3"/>
  <c r="K30" i="3"/>
  <c r="L30" i="3"/>
  <c r="M30" i="3"/>
  <c r="N30" i="3"/>
  <c r="J30" i="4"/>
  <c r="K30" i="4"/>
  <c r="L30" i="4"/>
  <c r="M30" i="4"/>
  <c r="N30" i="4"/>
  <c r="O30" i="4"/>
  <c r="J30" i="5"/>
  <c r="K30" i="5"/>
  <c r="L30" i="5"/>
  <c r="M30" i="5"/>
  <c r="N30" i="5"/>
  <c r="O30" i="5"/>
  <c r="J30" i="6"/>
  <c r="K30" i="6"/>
  <c r="L30" i="6"/>
  <c r="M30" i="6"/>
  <c r="N30" i="6"/>
  <c r="O30" i="6"/>
  <c r="J30" i="14"/>
  <c r="K30" i="14"/>
  <c r="L30" i="14"/>
  <c r="M30" i="14"/>
  <c r="N30" i="14"/>
  <c r="O30" i="14"/>
  <c r="J30" i="7"/>
  <c r="K30" i="7"/>
  <c r="L30" i="7"/>
  <c r="M30" i="7"/>
  <c r="N30" i="7"/>
  <c r="O30" i="7"/>
  <c r="J30" i="9"/>
  <c r="K30" i="9"/>
  <c r="L30" i="9"/>
  <c r="M30" i="9"/>
  <c r="N30" i="9"/>
  <c r="O30" i="9"/>
  <c r="J30" i="10"/>
  <c r="K30" i="10"/>
  <c r="L30" i="10"/>
  <c r="M30" i="10"/>
  <c r="N30" i="10"/>
  <c r="O30" i="10"/>
  <c r="J30" i="11"/>
  <c r="K30" i="11"/>
  <c r="L30" i="11"/>
  <c r="M30" i="11"/>
  <c r="N30" i="11"/>
  <c r="O30" i="11"/>
  <c r="J30" i="12"/>
  <c r="K30" i="12"/>
  <c r="L30" i="12"/>
  <c r="M30" i="12"/>
  <c r="N30" i="12"/>
  <c r="O30" i="12"/>
  <c r="J30" i="13"/>
  <c r="K30" i="13"/>
  <c r="L30" i="13"/>
  <c r="M30" i="13"/>
  <c r="N30" i="13"/>
  <c r="O30" i="13"/>
  <c r="J30" i="15"/>
  <c r="K30" i="15"/>
  <c r="L30" i="15"/>
  <c r="M30" i="15"/>
  <c r="N30" i="15"/>
  <c r="O30" i="15"/>
  <c r="J30" i="16"/>
  <c r="K30" i="16"/>
  <c r="L30" i="16"/>
  <c r="M30" i="16"/>
  <c r="N30" i="16"/>
  <c r="O30" i="16"/>
  <c r="J30" i="17"/>
  <c r="K30" i="17"/>
  <c r="L30" i="17"/>
  <c r="M30" i="17"/>
  <c r="N30" i="17"/>
  <c r="O30" i="17"/>
  <c r="J30" i="18"/>
  <c r="K30" i="18"/>
  <c r="L30" i="18"/>
  <c r="M30" i="18"/>
  <c r="N30" i="18"/>
  <c r="O30" i="18"/>
  <c r="J30" i="19"/>
  <c r="K30" i="19"/>
  <c r="L30" i="19"/>
  <c r="M30" i="19"/>
  <c r="N30" i="19"/>
  <c r="O30" i="19"/>
  <c r="J30" i="1"/>
  <c r="K30" i="1"/>
  <c r="L30" i="1"/>
  <c r="M30" i="1"/>
  <c r="N30" i="1"/>
  <c r="O30" i="1"/>
  <c r="I30" i="2"/>
  <c r="I30" i="3"/>
  <c r="I30" i="4"/>
  <c r="I30" i="5"/>
  <c r="I30" i="6"/>
  <c r="I30" i="14"/>
  <c r="I30" i="7"/>
  <c r="I30" i="9"/>
  <c r="I30" i="10"/>
  <c r="I30" i="11"/>
  <c r="I30" i="12"/>
  <c r="I30" i="13"/>
  <c r="I30" i="15"/>
  <c r="I30" i="16"/>
  <c r="I30" i="17"/>
  <c r="I30" i="18"/>
  <c r="I30" i="19"/>
  <c r="I30" i="1"/>
  <c r="H30" i="14"/>
  <c r="AG30" i="14" l="1"/>
  <c r="AG30" i="11"/>
  <c r="AG30" i="7"/>
  <c r="AH27" i="18"/>
  <c r="AG30" i="1"/>
  <c r="AH27" i="9"/>
  <c r="AG30" i="12"/>
  <c r="AG30" i="10"/>
  <c r="AG30" i="9"/>
  <c r="AG30" i="6"/>
  <c r="AG30" i="5"/>
  <c r="AG30" i="15"/>
  <c r="AH27" i="10"/>
  <c r="AG30" i="19"/>
  <c r="AG30" i="13"/>
  <c r="AG30" i="16"/>
  <c r="AG30" i="18"/>
  <c r="AG30" i="17"/>
  <c r="AH30" i="22"/>
  <c r="AH28" i="9"/>
  <c r="AH28" i="6"/>
  <c r="AH28" i="4"/>
  <c r="AH27" i="1"/>
  <c r="AH27" i="12"/>
  <c r="AH27" i="7"/>
  <c r="AH27" i="5"/>
  <c r="AH27" i="17"/>
  <c r="AH27" i="15"/>
  <c r="AH28" i="13"/>
  <c r="AH28" i="11"/>
  <c r="AH28" i="18"/>
  <c r="AH28" i="1"/>
  <c r="AH28" i="17"/>
  <c r="AH28" i="15"/>
  <c r="AH28" i="12"/>
  <c r="AH28" i="10"/>
  <c r="AH28" i="7"/>
  <c r="AG20" i="18"/>
  <c r="F77" i="18" l="1"/>
  <c r="E77" i="18"/>
  <c r="D77" i="18"/>
  <c r="E77" i="9"/>
  <c r="E77" i="15" l="1"/>
  <c r="F77" i="15" l="1"/>
  <c r="F77" i="3"/>
  <c r="E77" i="3"/>
  <c r="D49" i="17"/>
  <c r="D43" i="15"/>
  <c r="D83" i="15" s="1"/>
  <c r="F77" i="17"/>
  <c r="E77" i="17"/>
  <c r="D77" i="17"/>
  <c r="D79" i="22" s="1"/>
  <c r="AW77" i="1"/>
  <c r="AW77" i="2"/>
  <c r="AW77" i="3"/>
  <c r="AW77" i="4"/>
  <c r="AW77" i="5"/>
  <c r="AW77" i="6"/>
  <c r="AW77" i="14"/>
  <c r="AW77" i="7"/>
  <c r="AW77" i="9"/>
  <c r="AW77" i="10"/>
  <c r="AW77" i="11"/>
  <c r="AW77" i="12"/>
  <c r="AW77" i="13"/>
  <c r="AW77" i="15"/>
  <c r="AW77" i="16"/>
  <c r="AW77" i="18"/>
  <c r="AW77" i="19"/>
  <c r="AW79" i="22"/>
  <c r="AW77" i="17"/>
  <c r="AG77" i="1"/>
  <c r="AG77" i="2"/>
  <c r="AG77" i="3"/>
  <c r="AG77" i="4"/>
  <c r="AG77" i="5"/>
  <c r="AG77" i="6"/>
  <c r="AG77" i="14"/>
  <c r="AG77" i="7"/>
  <c r="AG77" i="9"/>
  <c r="AG77" i="10"/>
  <c r="AG77" i="11"/>
  <c r="AG77" i="12"/>
  <c r="AG77" i="13"/>
  <c r="AG77" i="15"/>
  <c r="AG77" i="16"/>
  <c r="AG77" i="18"/>
  <c r="AG77" i="19"/>
  <c r="AG77" i="17"/>
  <c r="H77" i="1"/>
  <c r="H77" i="2"/>
  <c r="AH77" i="2" s="1"/>
  <c r="H77" i="3"/>
  <c r="AH77" i="3" s="1"/>
  <c r="H77" i="4"/>
  <c r="H77" i="5"/>
  <c r="H77" i="6"/>
  <c r="AH77" i="6" s="1"/>
  <c r="H77" i="14"/>
  <c r="H77" i="7"/>
  <c r="H77" i="9"/>
  <c r="H77" i="10"/>
  <c r="AH77" i="10" s="1"/>
  <c r="H77" i="11"/>
  <c r="AH77" i="11" s="1"/>
  <c r="H77" i="12"/>
  <c r="H77" i="13"/>
  <c r="H77" i="15"/>
  <c r="H77" i="16"/>
  <c r="AH77" i="16" s="1"/>
  <c r="H77" i="18"/>
  <c r="H77" i="19"/>
  <c r="H77" i="17"/>
  <c r="AH77" i="17" s="1"/>
  <c r="AI77" i="17" s="1"/>
  <c r="D83" i="4"/>
  <c r="E80" i="14"/>
  <c r="AH77" i="19" l="1"/>
  <c r="AH77" i="13"/>
  <c r="AH77" i="9"/>
  <c r="AH77" i="5"/>
  <c r="AH77" i="1"/>
  <c r="AX77" i="16"/>
  <c r="AX77" i="11"/>
  <c r="AH77" i="18"/>
  <c r="AH77" i="12"/>
  <c r="AH77" i="4"/>
  <c r="G89" i="4"/>
  <c r="AH77" i="15"/>
  <c r="AH77" i="7"/>
  <c r="H86" i="17"/>
  <c r="AX77" i="12"/>
  <c r="AX77" i="7"/>
  <c r="AX77" i="18"/>
  <c r="AX77" i="14"/>
  <c r="AX77" i="4"/>
  <c r="AX77" i="3"/>
  <c r="AX77" i="17"/>
  <c r="AX79" i="22"/>
  <c r="AX77" i="15"/>
  <c r="AX77" i="10"/>
  <c r="AX77" i="6"/>
  <c r="AX77" i="2"/>
  <c r="AH77" i="14"/>
  <c r="AX77" i="19"/>
  <c r="AX77" i="5"/>
  <c r="AX77" i="1"/>
  <c r="AX77" i="13"/>
  <c r="AX77" i="9"/>
  <c r="AW35" i="13" l="1"/>
  <c r="AW34" i="13"/>
  <c r="AK22" i="6" l="1"/>
  <c r="F71" i="11" l="1"/>
  <c r="E71" i="11"/>
  <c r="AW49" i="13" l="1"/>
  <c r="AW34" i="2" l="1"/>
  <c r="AW34" i="3"/>
  <c r="AW34" i="4"/>
  <c r="AW34" i="5"/>
  <c r="AW34" i="6"/>
  <c r="AW34" i="14"/>
  <c r="AW34" i="7"/>
  <c r="AW34" i="9"/>
  <c r="AW34" i="10"/>
  <c r="AW34" i="11"/>
  <c r="AW34" i="12"/>
  <c r="AW34" i="16"/>
  <c r="AW34" i="17"/>
  <c r="AW34" i="18"/>
  <c r="BA34" i="18" s="1"/>
  <c r="BB34" i="18" s="1"/>
  <c r="AW34" i="19"/>
  <c r="AW36" i="22"/>
  <c r="AW34" i="1"/>
  <c r="AX35" i="14"/>
  <c r="AW76" i="2"/>
  <c r="AW75" i="2"/>
  <c r="AW74" i="2"/>
  <c r="AW73" i="2"/>
  <c r="AW72" i="2"/>
  <c r="AW71" i="2"/>
  <c r="AW70" i="2"/>
  <c r="AW69" i="2"/>
  <c r="AW68" i="2"/>
  <c r="AW67" i="2"/>
  <c r="AW66" i="2"/>
  <c r="AW65" i="2"/>
  <c r="AW64" i="2"/>
  <c r="AW63" i="2"/>
  <c r="AW62" i="2"/>
  <c r="AW61" i="2"/>
  <c r="AW60" i="2"/>
  <c r="AW59" i="2"/>
  <c r="AW58" i="2"/>
  <c r="AW57" i="2"/>
  <c r="AW56" i="2"/>
  <c r="AW55" i="2"/>
  <c r="AW54" i="2"/>
  <c r="AW53" i="2"/>
  <c r="AW52" i="2"/>
  <c r="AW51" i="2"/>
  <c r="AW50" i="2"/>
  <c r="AW49" i="2"/>
  <c r="AW48" i="2"/>
  <c r="AW47" i="2"/>
  <c r="AW46" i="2"/>
  <c r="AW45" i="2"/>
  <c r="AW44" i="2"/>
  <c r="AW43" i="2"/>
  <c r="AW42" i="2"/>
  <c r="AW41" i="2"/>
  <c r="AW40" i="2"/>
  <c r="AW39" i="2"/>
  <c r="AW38" i="2"/>
  <c r="AW37" i="2"/>
  <c r="AW36" i="2"/>
  <c r="AW35" i="2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6" i="3"/>
  <c r="AW55" i="3"/>
  <c r="AW54" i="3"/>
  <c r="AW53" i="3"/>
  <c r="AW52" i="3"/>
  <c r="AW51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76" i="5"/>
  <c r="AW75" i="5"/>
  <c r="AW74" i="5"/>
  <c r="AW73" i="5"/>
  <c r="AW72" i="5"/>
  <c r="AW71" i="5"/>
  <c r="AW70" i="5"/>
  <c r="AW69" i="5"/>
  <c r="AW68" i="5"/>
  <c r="AW67" i="5"/>
  <c r="AW66" i="5"/>
  <c r="AW65" i="5"/>
  <c r="AW64" i="5"/>
  <c r="AW63" i="5"/>
  <c r="AW62" i="5"/>
  <c r="AW61" i="5"/>
  <c r="AW60" i="5"/>
  <c r="AW59" i="5"/>
  <c r="AW58" i="5"/>
  <c r="AW57" i="5"/>
  <c r="AW56" i="5"/>
  <c r="AW55" i="5"/>
  <c r="AW54" i="5"/>
  <c r="AW53" i="5"/>
  <c r="AW52" i="5"/>
  <c r="AW51" i="5"/>
  <c r="AW50" i="5"/>
  <c r="AW49" i="5"/>
  <c r="AW48" i="5"/>
  <c r="AW47" i="5"/>
  <c r="AW46" i="5"/>
  <c r="AW45" i="5"/>
  <c r="AW44" i="5"/>
  <c r="AW43" i="5"/>
  <c r="AW42" i="5"/>
  <c r="AW41" i="5"/>
  <c r="AW40" i="5"/>
  <c r="AW39" i="5"/>
  <c r="AW38" i="5"/>
  <c r="AW37" i="5"/>
  <c r="AW36" i="5"/>
  <c r="AW35" i="5"/>
  <c r="AW76" i="6"/>
  <c r="AW75" i="6"/>
  <c r="AW74" i="6"/>
  <c r="AW73" i="6"/>
  <c r="AW72" i="6"/>
  <c r="AW71" i="6"/>
  <c r="AW70" i="6"/>
  <c r="AW69" i="6"/>
  <c r="AW68" i="6"/>
  <c r="AW67" i="6"/>
  <c r="AW66" i="6"/>
  <c r="AW65" i="6"/>
  <c r="AW64" i="6"/>
  <c r="AW63" i="6"/>
  <c r="AW62" i="6"/>
  <c r="AW61" i="6"/>
  <c r="AW60" i="6"/>
  <c r="AW59" i="6"/>
  <c r="AW58" i="6"/>
  <c r="AW57" i="6"/>
  <c r="AW56" i="6"/>
  <c r="AW55" i="6"/>
  <c r="AW54" i="6"/>
  <c r="AW53" i="6"/>
  <c r="AW52" i="6"/>
  <c r="AW51" i="6"/>
  <c r="AW50" i="6"/>
  <c r="AW49" i="6"/>
  <c r="AW48" i="6"/>
  <c r="AW47" i="6"/>
  <c r="AW46" i="6"/>
  <c r="AW45" i="6"/>
  <c r="AW44" i="6"/>
  <c r="AW43" i="6"/>
  <c r="AW42" i="6"/>
  <c r="AW41" i="6"/>
  <c r="AW40" i="6"/>
  <c r="AW39" i="6"/>
  <c r="AW38" i="6"/>
  <c r="AW37" i="6"/>
  <c r="AW36" i="6"/>
  <c r="AW35" i="6"/>
  <c r="AW76" i="14"/>
  <c r="AW75" i="14"/>
  <c r="AW74" i="14"/>
  <c r="AW73" i="14"/>
  <c r="AW72" i="14"/>
  <c r="AW71" i="14"/>
  <c r="AW70" i="14"/>
  <c r="AW69" i="14"/>
  <c r="AW68" i="14"/>
  <c r="AW67" i="14"/>
  <c r="AW66" i="14"/>
  <c r="AW65" i="14"/>
  <c r="AW64" i="14"/>
  <c r="AW63" i="14"/>
  <c r="AW62" i="14"/>
  <c r="AW61" i="14"/>
  <c r="AW60" i="14"/>
  <c r="AW59" i="14"/>
  <c r="AW58" i="14"/>
  <c r="AW57" i="14"/>
  <c r="AW56" i="14"/>
  <c r="AW55" i="14"/>
  <c r="AW54" i="14"/>
  <c r="AW53" i="14"/>
  <c r="AW52" i="14"/>
  <c r="AW51" i="14"/>
  <c r="AW50" i="14"/>
  <c r="AW49" i="14"/>
  <c r="AW48" i="14"/>
  <c r="AW47" i="14"/>
  <c r="AW46" i="14"/>
  <c r="AW45" i="14"/>
  <c r="AW44" i="14"/>
  <c r="AW43" i="14"/>
  <c r="AW42" i="14"/>
  <c r="AW41" i="14"/>
  <c r="AW40" i="14"/>
  <c r="AW39" i="14"/>
  <c r="AW38" i="14"/>
  <c r="AW37" i="14"/>
  <c r="AW36" i="14"/>
  <c r="AW76" i="7"/>
  <c r="AW75" i="7"/>
  <c r="AW74" i="7"/>
  <c r="AW73" i="7"/>
  <c r="AW72" i="7"/>
  <c r="AW71" i="7"/>
  <c r="AW70" i="7"/>
  <c r="AW69" i="7"/>
  <c r="AW68" i="7"/>
  <c r="AW67" i="7"/>
  <c r="AW66" i="7"/>
  <c r="AW65" i="7"/>
  <c r="AW64" i="7"/>
  <c r="AW63" i="7"/>
  <c r="AW62" i="7"/>
  <c r="AW61" i="7"/>
  <c r="AW60" i="7"/>
  <c r="AW59" i="7"/>
  <c r="AW58" i="7"/>
  <c r="AW57" i="7"/>
  <c r="AW56" i="7"/>
  <c r="AW55" i="7"/>
  <c r="AW54" i="7"/>
  <c r="AW53" i="7"/>
  <c r="AW52" i="7"/>
  <c r="AW51" i="7"/>
  <c r="AW50" i="7"/>
  <c r="AW49" i="7"/>
  <c r="AW48" i="7"/>
  <c r="AW47" i="7"/>
  <c r="AW46" i="7"/>
  <c r="AW45" i="7"/>
  <c r="AW44" i="7"/>
  <c r="AW43" i="7"/>
  <c r="AW42" i="7"/>
  <c r="AW41" i="7"/>
  <c r="AW40" i="7"/>
  <c r="AW39" i="7"/>
  <c r="AW38" i="7"/>
  <c r="AW37" i="7"/>
  <c r="AW36" i="7"/>
  <c r="AW35" i="7"/>
  <c r="AW76" i="9"/>
  <c r="AW75" i="9"/>
  <c r="AW74" i="9"/>
  <c r="AW73" i="9"/>
  <c r="AW72" i="9"/>
  <c r="AW71" i="9"/>
  <c r="AW70" i="9"/>
  <c r="AW69" i="9"/>
  <c r="AW68" i="9"/>
  <c r="AW67" i="9"/>
  <c r="AW66" i="9"/>
  <c r="AW65" i="9"/>
  <c r="AW64" i="9"/>
  <c r="AW63" i="9"/>
  <c r="AW62" i="9"/>
  <c r="AW61" i="9"/>
  <c r="AW60" i="9"/>
  <c r="AW59" i="9"/>
  <c r="AW58" i="9"/>
  <c r="AW57" i="9"/>
  <c r="AW56" i="9"/>
  <c r="AW55" i="9"/>
  <c r="AW54" i="9"/>
  <c r="AW53" i="9"/>
  <c r="AW52" i="9"/>
  <c r="AW51" i="9"/>
  <c r="AW50" i="9"/>
  <c r="AW49" i="9"/>
  <c r="AW48" i="9"/>
  <c r="AW47" i="9"/>
  <c r="AW46" i="9"/>
  <c r="AW45" i="9"/>
  <c r="AW44" i="9"/>
  <c r="AW43" i="9"/>
  <c r="AW42" i="9"/>
  <c r="AW41" i="9"/>
  <c r="AW40" i="9"/>
  <c r="AW39" i="9"/>
  <c r="AW38" i="9"/>
  <c r="AW37" i="9"/>
  <c r="AW36" i="9"/>
  <c r="AW35" i="9"/>
  <c r="AW76" i="10"/>
  <c r="AW75" i="10"/>
  <c r="AW74" i="10"/>
  <c r="AW73" i="10"/>
  <c r="AW72" i="10"/>
  <c r="AW71" i="10"/>
  <c r="AW70" i="10"/>
  <c r="AW69" i="10"/>
  <c r="AW68" i="10"/>
  <c r="AW67" i="10"/>
  <c r="AW66" i="10"/>
  <c r="AW65" i="10"/>
  <c r="AW64" i="10"/>
  <c r="AW63" i="10"/>
  <c r="AW62" i="10"/>
  <c r="AW61" i="10"/>
  <c r="AW60" i="10"/>
  <c r="AW59" i="10"/>
  <c r="AW58" i="10"/>
  <c r="AW57" i="10"/>
  <c r="AW56" i="10"/>
  <c r="AW55" i="10"/>
  <c r="AW54" i="10"/>
  <c r="AW53" i="10"/>
  <c r="AW52" i="10"/>
  <c r="AW51" i="10"/>
  <c r="AW50" i="10"/>
  <c r="AW49" i="10"/>
  <c r="AW48" i="10"/>
  <c r="AW47" i="10"/>
  <c r="AW46" i="10"/>
  <c r="AW45" i="10"/>
  <c r="AW44" i="10"/>
  <c r="AW43" i="10"/>
  <c r="AW42" i="10"/>
  <c r="AW41" i="10"/>
  <c r="AW40" i="10"/>
  <c r="AW39" i="10"/>
  <c r="AW38" i="10"/>
  <c r="AW37" i="10"/>
  <c r="AW36" i="10"/>
  <c r="AW35" i="10"/>
  <c r="AW76" i="11"/>
  <c r="AW75" i="11"/>
  <c r="AW74" i="11"/>
  <c r="AW73" i="11"/>
  <c r="AW72" i="11"/>
  <c r="AW71" i="11"/>
  <c r="AW70" i="11"/>
  <c r="AW69" i="11"/>
  <c r="AW68" i="11"/>
  <c r="AW67" i="11"/>
  <c r="AW66" i="11"/>
  <c r="AW65" i="11"/>
  <c r="AW64" i="11"/>
  <c r="AW63" i="11"/>
  <c r="AW62" i="11"/>
  <c r="AW61" i="11"/>
  <c r="AW60" i="11"/>
  <c r="AW59" i="11"/>
  <c r="AW58" i="11"/>
  <c r="AW57" i="11"/>
  <c r="AW56" i="11"/>
  <c r="AW55" i="11"/>
  <c r="AW54" i="11"/>
  <c r="AW53" i="11"/>
  <c r="AW52" i="11"/>
  <c r="AW51" i="11"/>
  <c r="AW50" i="11"/>
  <c r="AW49" i="11"/>
  <c r="AW48" i="11"/>
  <c r="AW47" i="11"/>
  <c r="AW46" i="11"/>
  <c r="AW45" i="11"/>
  <c r="AW44" i="11"/>
  <c r="AW43" i="11"/>
  <c r="AW42" i="11"/>
  <c r="AW41" i="11"/>
  <c r="AW40" i="11"/>
  <c r="AW39" i="11"/>
  <c r="AW38" i="11"/>
  <c r="AW37" i="11"/>
  <c r="AW36" i="11"/>
  <c r="AW35" i="11"/>
  <c r="AW76" i="12"/>
  <c r="AW75" i="12"/>
  <c r="AW74" i="12"/>
  <c r="AW73" i="12"/>
  <c r="AW72" i="12"/>
  <c r="AW71" i="12"/>
  <c r="AW70" i="12"/>
  <c r="AW69" i="12"/>
  <c r="AW68" i="12"/>
  <c r="AW67" i="12"/>
  <c r="AW66" i="12"/>
  <c r="AW65" i="12"/>
  <c r="AW64" i="12"/>
  <c r="AW63" i="12"/>
  <c r="AW62" i="12"/>
  <c r="AW61" i="12"/>
  <c r="AW60" i="12"/>
  <c r="AW59" i="12"/>
  <c r="AW58" i="12"/>
  <c r="AW57" i="12"/>
  <c r="AW56" i="12"/>
  <c r="AW55" i="12"/>
  <c r="AW54" i="12"/>
  <c r="AW53" i="12"/>
  <c r="AW52" i="12"/>
  <c r="AW51" i="12"/>
  <c r="AW50" i="12"/>
  <c r="AW49" i="12"/>
  <c r="AW48" i="12"/>
  <c r="AW47" i="12"/>
  <c r="AW46" i="12"/>
  <c r="AW45" i="12"/>
  <c r="AW44" i="12"/>
  <c r="AW43" i="12"/>
  <c r="AW42" i="12"/>
  <c r="AW41" i="12"/>
  <c r="AW40" i="12"/>
  <c r="AW39" i="12"/>
  <c r="AW38" i="12"/>
  <c r="AW37" i="12"/>
  <c r="AW36" i="12"/>
  <c r="AW35" i="12"/>
  <c r="AW76" i="13"/>
  <c r="AW75" i="13"/>
  <c r="AW74" i="13"/>
  <c r="AW73" i="13"/>
  <c r="AW72" i="13"/>
  <c r="AW71" i="13"/>
  <c r="AW70" i="13"/>
  <c r="AW69" i="13"/>
  <c r="AW68" i="13"/>
  <c r="AW67" i="13"/>
  <c r="AW66" i="13"/>
  <c r="AW65" i="13"/>
  <c r="AW64" i="13"/>
  <c r="AW63" i="13"/>
  <c r="AW62" i="13"/>
  <c r="AW61" i="13"/>
  <c r="AW60" i="13"/>
  <c r="AW59" i="13"/>
  <c r="AW58" i="13"/>
  <c r="AW57" i="13"/>
  <c r="AW56" i="13"/>
  <c r="AW55" i="13"/>
  <c r="AW54" i="13"/>
  <c r="AW53" i="13"/>
  <c r="AW52" i="13"/>
  <c r="AW51" i="13"/>
  <c r="AW50" i="13"/>
  <c r="AW48" i="13"/>
  <c r="AW47" i="13"/>
  <c r="AW46" i="13"/>
  <c r="AW45" i="13"/>
  <c r="AW44" i="13"/>
  <c r="AW43" i="13"/>
  <c r="AW42" i="13"/>
  <c r="AW41" i="13"/>
  <c r="AW40" i="13"/>
  <c r="AW39" i="13"/>
  <c r="AW38" i="13"/>
  <c r="AW37" i="13"/>
  <c r="AW36" i="13"/>
  <c r="AW76" i="15"/>
  <c r="AW75" i="15"/>
  <c r="AW74" i="15"/>
  <c r="AW73" i="15"/>
  <c r="AW72" i="15"/>
  <c r="AW71" i="15"/>
  <c r="AW70" i="15"/>
  <c r="AW69" i="15"/>
  <c r="AW68" i="15"/>
  <c r="AW67" i="15"/>
  <c r="AW66" i="15"/>
  <c r="AW65" i="15"/>
  <c r="AW64" i="15"/>
  <c r="AW63" i="15"/>
  <c r="AW62" i="15"/>
  <c r="AW61" i="15"/>
  <c r="AW60" i="15"/>
  <c r="AW59" i="15"/>
  <c r="AW58" i="15"/>
  <c r="AW57" i="15"/>
  <c r="AW56" i="15"/>
  <c r="AW55" i="15"/>
  <c r="AW54" i="15"/>
  <c r="AW53" i="15"/>
  <c r="AW52" i="15"/>
  <c r="AW51" i="15"/>
  <c r="AW50" i="15"/>
  <c r="AW49" i="15"/>
  <c r="AW48" i="15"/>
  <c r="AW47" i="15"/>
  <c r="AW46" i="15"/>
  <c r="AW45" i="15"/>
  <c r="AW44" i="15"/>
  <c r="AW43" i="15"/>
  <c r="AW42" i="15"/>
  <c r="AW41" i="15"/>
  <c r="AW40" i="15"/>
  <c r="AW39" i="15"/>
  <c r="AW38" i="15"/>
  <c r="AW37" i="15"/>
  <c r="AW36" i="15"/>
  <c r="AW76" i="16"/>
  <c r="AW75" i="16"/>
  <c r="AW74" i="16"/>
  <c r="AW73" i="16"/>
  <c r="AW72" i="16"/>
  <c r="AW71" i="16"/>
  <c r="AW70" i="16"/>
  <c r="AW69" i="16"/>
  <c r="AW68" i="16"/>
  <c r="AW67" i="16"/>
  <c r="AW66" i="16"/>
  <c r="AW65" i="16"/>
  <c r="AW64" i="16"/>
  <c r="AW63" i="16"/>
  <c r="AW62" i="16"/>
  <c r="AW61" i="16"/>
  <c r="AW60" i="16"/>
  <c r="AW59" i="16"/>
  <c r="AW58" i="16"/>
  <c r="AW57" i="16"/>
  <c r="AW56" i="16"/>
  <c r="AW55" i="16"/>
  <c r="AW54" i="16"/>
  <c r="AW53" i="16"/>
  <c r="AW52" i="16"/>
  <c r="AW51" i="16"/>
  <c r="AW50" i="16"/>
  <c r="AW49" i="16"/>
  <c r="AW48" i="16"/>
  <c r="AW47" i="16"/>
  <c r="AW46" i="16"/>
  <c r="AW45" i="16"/>
  <c r="AW44" i="16"/>
  <c r="AW43" i="16"/>
  <c r="AW42" i="16"/>
  <c r="AW41" i="16"/>
  <c r="AW40" i="16"/>
  <c r="AW39" i="16"/>
  <c r="AW38" i="16"/>
  <c r="AW37" i="16"/>
  <c r="AW36" i="16"/>
  <c r="AW35" i="16"/>
  <c r="AW76" i="17"/>
  <c r="AW75" i="17"/>
  <c r="AW74" i="17"/>
  <c r="AW73" i="17"/>
  <c r="AW72" i="17"/>
  <c r="AW71" i="17"/>
  <c r="AW70" i="17"/>
  <c r="AW69" i="17"/>
  <c r="AW68" i="17"/>
  <c r="AW67" i="17"/>
  <c r="AW66" i="17"/>
  <c r="AW65" i="17"/>
  <c r="AW64" i="17"/>
  <c r="AW63" i="17"/>
  <c r="AW62" i="17"/>
  <c r="AW61" i="17"/>
  <c r="AW60" i="17"/>
  <c r="AW59" i="17"/>
  <c r="AW58" i="17"/>
  <c r="AW57" i="17"/>
  <c r="AW56" i="17"/>
  <c r="AW55" i="17"/>
  <c r="AW54" i="17"/>
  <c r="AW53" i="17"/>
  <c r="AW52" i="17"/>
  <c r="AW51" i="17"/>
  <c r="AW50" i="17"/>
  <c r="AW49" i="17"/>
  <c r="AW48" i="17"/>
  <c r="AW47" i="17"/>
  <c r="AW46" i="17"/>
  <c r="AW45" i="17"/>
  <c r="AW44" i="17"/>
  <c r="AW43" i="17"/>
  <c r="AW42" i="17"/>
  <c r="AW41" i="17"/>
  <c r="AW40" i="17"/>
  <c r="AW39" i="17"/>
  <c r="AW37" i="17"/>
  <c r="AW36" i="17"/>
  <c r="AW35" i="17"/>
  <c r="AW76" i="18"/>
  <c r="AW75" i="18"/>
  <c r="AW74" i="18"/>
  <c r="AW73" i="18"/>
  <c r="AW72" i="18"/>
  <c r="AW71" i="18"/>
  <c r="AW70" i="18"/>
  <c r="AW69" i="18"/>
  <c r="AW68" i="18"/>
  <c r="AW67" i="18"/>
  <c r="AW66" i="18"/>
  <c r="AW65" i="18"/>
  <c r="AW64" i="18"/>
  <c r="AW63" i="18"/>
  <c r="AW62" i="18"/>
  <c r="AW61" i="18"/>
  <c r="AW60" i="18"/>
  <c r="AW59" i="18"/>
  <c r="AW58" i="18"/>
  <c r="AW57" i="18"/>
  <c r="AW56" i="18"/>
  <c r="AW55" i="18"/>
  <c r="AW54" i="18"/>
  <c r="AW53" i="18"/>
  <c r="AW52" i="18"/>
  <c r="AW51" i="18"/>
  <c r="AW50" i="18"/>
  <c r="AW49" i="18"/>
  <c r="AW48" i="18"/>
  <c r="AW47" i="18"/>
  <c r="AW46" i="18"/>
  <c r="AW45" i="18"/>
  <c r="AW44" i="18"/>
  <c r="AW43" i="18"/>
  <c r="AW42" i="18"/>
  <c r="AW41" i="18"/>
  <c r="AW40" i="18"/>
  <c r="AW39" i="18"/>
  <c r="AW38" i="18"/>
  <c r="AW37" i="18"/>
  <c r="AW36" i="18"/>
  <c r="AW35" i="18"/>
  <c r="BA35" i="18" s="1"/>
  <c r="BB35" i="18" s="1"/>
  <c r="AW76" i="19"/>
  <c r="AW75" i="19"/>
  <c r="AW74" i="19"/>
  <c r="AW73" i="19"/>
  <c r="AW72" i="19"/>
  <c r="AW71" i="19"/>
  <c r="AW70" i="19"/>
  <c r="AW69" i="19"/>
  <c r="AW68" i="19"/>
  <c r="AW67" i="19"/>
  <c r="AW66" i="19"/>
  <c r="AW65" i="19"/>
  <c r="AW64" i="19"/>
  <c r="AW63" i="19"/>
  <c r="AW62" i="19"/>
  <c r="AW61" i="19"/>
  <c r="AW60" i="19"/>
  <c r="AW59" i="19"/>
  <c r="AW58" i="19"/>
  <c r="AW57" i="19"/>
  <c r="AW56" i="19"/>
  <c r="AW55" i="19"/>
  <c r="AW54" i="19"/>
  <c r="AW53" i="19"/>
  <c r="AW52" i="19"/>
  <c r="AW51" i="19"/>
  <c r="AW50" i="19"/>
  <c r="AW49" i="19"/>
  <c r="AW48" i="19"/>
  <c r="AW47" i="19"/>
  <c r="AW46" i="19"/>
  <c r="AW45" i="19"/>
  <c r="AW44" i="19"/>
  <c r="AW43" i="19"/>
  <c r="AW42" i="19"/>
  <c r="AW41" i="19"/>
  <c r="AW40" i="19"/>
  <c r="AW39" i="19"/>
  <c r="AW38" i="19"/>
  <c r="AW37" i="19"/>
  <c r="AW36" i="19"/>
  <c r="AW35" i="19"/>
  <c r="AW78" i="22"/>
  <c r="AW77" i="22"/>
  <c r="AW76" i="22"/>
  <c r="AW75" i="22"/>
  <c r="AW74" i="22"/>
  <c r="AW73" i="22"/>
  <c r="AW72" i="22"/>
  <c r="AW71" i="22"/>
  <c r="AW70" i="22"/>
  <c r="AW69" i="22"/>
  <c r="AW68" i="22"/>
  <c r="AW67" i="22"/>
  <c r="AW66" i="22"/>
  <c r="AW65" i="22"/>
  <c r="AW64" i="22"/>
  <c r="AW63" i="22"/>
  <c r="AW62" i="22"/>
  <c r="AW61" i="22"/>
  <c r="AW60" i="22"/>
  <c r="AW59" i="22"/>
  <c r="AW58" i="22"/>
  <c r="AW57" i="22"/>
  <c r="AW56" i="22"/>
  <c r="AW55" i="22"/>
  <c r="AW54" i="22"/>
  <c r="AW53" i="22"/>
  <c r="AW52" i="22"/>
  <c r="AW51" i="22"/>
  <c r="AW50" i="22"/>
  <c r="AW49" i="22"/>
  <c r="AW48" i="22"/>
  <c r="AW47" i="22"/>
  <c r="AW46" i="22"/>
  <c r="AW45" i="22"/>
  <c r="AW44" i="22"/>
  <c r="AW43" i="22"/>
  <c r="AW42" i="22"/>
  <c r="AW41" i="22"/>
  <c r="AW40" i="22"/>
  <c r="AW39" i="22"/>
  <c r="AW38" i="22"/>
  <c r="AW37" i="22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H75" i="2" l="1"/>
  <c r="H76" i="2"/>
  <c r="H75" i="3"/>
  <c r="H75" i="4"/>
  <c r="H76" i="4"/>
  <c r="H75" i="5"/>
  <c r="H76" i="5"/>
  <c r="AH76" i="5" s="1"/>
  <c r="H75" i="6"/>
  <c r="AH75" i="6" s="1"/>
  <c r="H76" i="6"/>
  <c r="H75" i="14"/>
  <c r="H76" i="14"/>
  <c r="H75" i="7"/>
  <c r="AH75" i="7" s="1"/>
  <c r="H76" i="7"/>
  <c r="H75" i="9"/>
  <c r="H76" i="9"/>
  <c r="AH76" i="9" s="1"/>
  <c r="H75" i="10"/>
  <c r="AH75" i="10" s="1"/>
  <c r="H76" i="10"/>
  <c r="H75" i="11"/>
  <c r="H76" i="11"/>
  <c r="AH76" i="11" s="1"/>
  <c r="H75" i="12"/>
  <c r="AH75" i="12" s="1"/>
  <c r="H76" i="12"/>
  <c r="H75" i="13"/>
  <c r="H76" i="13"/>
  <c r="AH76" i="13" s="1"/>
  <c r="H75" i="15"/>
  <c r="AH75" i="15" s="1"/>
  <c r="H76" i="15"/>
  <c r="H75" i="16"/>
  <c r="H76" i="16"/>
  <c r="AH76" i="16" s="1"/>
  <c r="H75" i="17"/>
  <c r="AH75" i="17" s="1"/>
  <c r="H75" i="18"/>
  <c r="H76" i="18"/>
  <c r="H75" i="19"/>
  <c r="AH75" i="19" s="1"/>
  <c r="H76" i="19"/>
  <c r="AH76" i="19" s="1"/>
  <c r="H76" i="1"/>
  <c r="AG75" i="2"/>
  <c r="AG76" i="2"/>
  <c r="AX76" i="2" s="1"/>
  <c r="AG75" i="3"/>
  <c r="AG76" i="3"/>
  <c r="AG75" i="4"/>
  <c r="AG76" i="4"/>
  <c r="AX76" i="4" s="1"/>
  <c r="AG75" i="5"/>
  <c r="AG76" i="5"/>
  <c r="AX76" i="5" s="1"/>
  <c r="AG75" i="6"/>
  <c r="AG76" i="6"/>
  <c r="AX76" i="6" s="1"/>
  <c r="AG75" i="14"/>
  <c r="AG76" i="14"/>
  <c r="AX76" i="14" s="1"/>
  <c r="AG75" i="7"/>
  <c r="AG76" i="7"/>
  <c r="AX76" i="7" s="1"/>
  <c r="AG75" i="9"/>
  <c r="AG76" i="9"/>
  <c r="AX76" i="9" s="1"/>
  <c r="AG75" i="10"/>
  <c r="AG76" i="10"/>
  <c r="AX76" i="10" s="1"/>
  <c r="AG75" i="11"/>
  <c r="AG76" i="11"/>
  <c r="AX76" i="11" s="1"/>
  <c r="AG75" i="12"/>
  <c r="AG76" i="12"/>
  <c r="AX76" i="12" s="1"/>
  <c r="AG75" i="13"/>
  <c r="AG76" i="13"/>
  <c r="AX76" i="13" s="1"/>
  <c r="AG75" i="15"/>
  <c r="AG76" i="15"/>
  <c r="AX76" i="15" s="1"/>
  <c r="AG75" i="16"/>
  <c r="AX75" i="16" s="1"/>
  <c r="AG76" i="16"/>
  <c r="AX76" i="16" s="1"/>
  <c r="AG75" i="17"/>
  <c r="AX76" i="17"/>
  <c r="AG75" i="18"/>
  <c r="AG76" i="18"/>
  <c r="AX76" i="18" s="1"/>
  <c r="AG75" i="19"/>
  <c r="AG76" i="19"/>
  <c r="AX76" i="19" s="1"/>
  <c r="AX77" i="22"/>
  <c r="AX78" i="22"/>
  <c r="AG75" i="1"/>
  <c r="AX75" i="1" s="1"/>
  <c r="AG76" i="1"/>
  <c r="AX76" i="1" s="1"/>
  <c r="AH75" i="3" l="1"/>
  <c r="AH76" i="18"/>
  <c r="AI76" i="18" s="1"/>
  <c r="AH75" i="16"/>
  <c r="AI76" i="16" s="1"/>
  <c r="AH75" i="13"/>
  <c r="AH75" i="11"/>
  <c r="AI76" i="11" s="1"/>
  <c r="AH75" i="9"/>
  <c r="AI76" i="9" s="1"/>
  <c r="AH75" i="5"/>
  <c r="AH76" i="2"/>
  <c r="G87" i="4"/>
  <c r="AH75" i="4"/>
  <c r="AI76" i="19"/>
  <c r="AI76" i="13"/>
  <c r="AI76" i="5"/>
  <c r="AX76" i="3"/>
  <c r="AH76" i="3"/>
  <c r="AH76" i="1"/>
  <c r="AH75" i="18"/>
  <c r="AH76" i="15"/>
  <c r="AI77" i="15" s="1"/>
  <c r="AH76" i="12"/>
  <c r="AI76" i="12" s="1"/>
  <c r="AH76" i="10"/>
  <c r="AI76" i="10" s="1"/>
  <c r="AH76" i="6"/>
  <c r="AI75" i="6" s="1"/>
  <c r="AH75" i="2"/>
  <c r="AH76" i="7"/>
  <c r="AI76" i="7" s="1"/>
  <c r="AH76" i="4"/>
  <c r="G88" i="4"/>
  <c r="AX75" i="12"/>
  <c r="AX75" i="6"/>
  <c r="AX75" i="18"/>
  <c r="AX75" i="7"/>
  <c r="AH76" i="14"/>
  <c r="AX75" i="3"/>
  <c r="AX75" i="17"/>
  <c r="AX75" i="11"/>
  <c r="AX75" i="5"/>
  <c r="AX75" i="2"/>
  <c r="AX75" i="19"/>
  <c r="AX75" i="9"/>
  <c r="AX75" i="10"/>
  <c r="AH75" i="14"/>
  <c r="AX75" i="14"/>
  <c r="AX75" i="4"/>
  <c r="AX75" i="15"/>
  <c r="AX75" i="13"/>
  <c r="AI76" i="4" l="1"/>
  <c r="AH87" i="2"/>
  <c r="AI76" i="3"/>
  <c r="G70" i="3"/>
  <c r="F70" i="3"/>
  <c r="G70" i="2"/>
  <c r="F70" i="2"/>
  <c r="G70" i="1"/>
  <c r="F70" i="1"/>
  <c r="F46" i="18"/>
  <c r="E46" i="18"/>
  <c r="F66" i="16"/>
  <c r="E66" i="16"/>
  <c r="F66" i="15"/>
  <c r="E66" i="15"/>
  <c r="G36" i="15"/>
  <c r="F36" i="15"/>
  <c r="E36" i="15"/>
  <c r="E54" i="15"/>
  <c r="F54" i="15"/>
  <c r="F71" i="3" l="1"/>
  <c r="E71" i="3"/>
  <c r="F58" i="3"/>
  <c r="E58" i="3"/>
  <c r="F57" i="3"/>
  <c r="E57" i="3"/>
  <c r="E55" i="2"/>
  <c r="F55" i="2"/>
  <c r="M32" i="22" l="1"/>
  <c r="AG58" i="1"/>
  <c r="AX58" i="1" s="1"/>
  <c r="Y67" i="13" l="1"/>
  <c r="Y69" i="22" s="1"/>
  <c r="AG69" i="22" s="1"/>
  <c r="G70" i="6" l="1"/>
  <c r="F70" i="6"/>
  <c r="E70" i="6"/>
  <c r="AG68" i="2"/>
  <c r="AX68" i="2" s="1"/>
  <c r="AG69" i="2"/>
  <c r="AX69" i="2" s="1"/>
  <c r="AG70" i="2"/>
  <c r="AX70" i="2" s="1"/>
  <c r="AG71" i="2"/>
  <c r="AX71" i="2" s="1"/>
  <c r="AG72" i="2"/>
  <c r="AX72" i="2" s="1"/>
  <c r="AG73" i="2"/>
  <c r="AX73" i="2" s="1"/>
  <c r="AG74" i="2"/>
  <c r="AX74" i="2" s="1"/>
  <c r="AG68" i="3"/>
  <c r="AX68" i="3" s="1"/>
  <c r="AG69" i="3"/>
  <c r="AX69" i="3" s="1"/>
  <c r="AG70" i="3"/>
  <c r="AX70" i="3" s="1"/>
  <c r="AG71" i="3"/>
  <c r="AX71" i="3" s="1"/>
  <c r="AG72" i="3"/>
  <c r="AX72" i="3" s="1"/>
  <c r="AG73" i="3"/>
  <c r="AX73" i="3" s="1"/>
  <c r="AG74" i="3"/>
  <c r="AX74" i="3" s="1"/>
  <c r="AG68" i="4"/>
  <c r="AX68" i="4" s="1"/>
  <c r="AG69" i="4"/>
  <c r="AX69" i="4" s="1"/>
  <c r="AG70" i="4"/>
  <c r="AX70" i="4" s="1"/>
  <c r="AG71" i="4"/>
  <c r="AX71" i="4" s="1"/>
  <c r="AG72" i="4"/>
  <c r="AX72" i="4" s="1"/>
  <c r="AG73" i="4"/>
  <c r="AX73" i="4" s="1"/>
  <c r="AG74" i="4"/>
  <c r="AX74" i="4" s="1"/>
  <c r="AG68" i="5"/>
  <c r="AX68" i="5" s="1"/>
  <c r="AG69" i="5"/>
  <c r="AX69" i="5" s="1"/>
  <c r="AG70" i="5"/>
  <c r="AX70" i="5" s="1"/>
  <c r="AG71" i="5"/>
  <c r="AX71" i="5" s="1"/>
  <c r="AG72" i="5"/>
  <c r="AX72" i="5" s="1"/>
  <c r="AG73" i="5"/>
  <c r="AX73" i="5" s="1"/>
  <c r="AG74" i="5"/>
  <c r="AX74" i="5" s="1"/>
  <c r="AG68" i="6"/>
  <c r="AX68" i="6" s="1"/>
  <c r="AG69" i="6"/>
  <c r="AX69" i="6" s="1"/>
  <c r="AG70" i="6"/>
  <c r="AX70" i="6" s="1"/>
  <c r="AG71" i="6"/>
  <c r="AX71" i="6" s="1"/>
  <c r="AG72" i="6"/>
  <c r="AX72" i="6" s="1"/>
  <c r="AG73" i="6"/>
  <c r="AX73" i="6" s="1"/>
  <c r="AG74" i="6"/>
  <c r="AX74" i="6" s="1"/>
  <c r="AG68" i="14"/>
  <c r="AX68" i="14" s="1"/>
  <c r="AG69" i="14"/>
  <c r="AX69" i="14" s="1"/>
  <c r="AG70" i="14"/>
  <c r="AX70" i="14" s="1"/>
  <c r="AG71" i="14"/>
  <c r="AX71" i="14" s="1"/>
  <c r="AG72" i="14"/>
  <c r="AX72" i="14" s="1"/>
  <c r="AG73" i="14"/>
  <c r="AX73" i="14" s="1"/>
  <c r="AG74" i="14"/>
  <c r="AX74" i="14" s="1"/>
  <c r="AG68" i="7"/>
  <c r="AX68" i="7" s="1"/>
  <c r="AG69" i="7"/>
  <c r="AX69" i="7" s="1"/>
  <c r="AG70" i="7"/>
  <c r="AX70" i="7" s="1"/>
  <c r="AG71" i="7"/>
  <c r="AX71" i="7" s="1"/>
  <c r="AG72" i="7"/>
  <c r="AX72" i="7" s="1"/>
  <c r="AG73" i="7"/>
  <c r="AX73" i="7" s="1"/>
  <c r="AG74" i="7"/>
  <c r="AX74" i="7" s="1"/>
  <c r="AG68" i="9"/>
  <c r="AX68" i="9" s="1"/>
  <c r="AG69" i="9"/>
  <c r="AX69" i="9" s="1"/>
  <c r="AG70" i="9"/>
  <c r="AX70" i="9" s="1"/>
  <c r="AG71" i="9"/>
  <c r="AX71" i="9" s="1"/>
  <c r="AG72" i="9"/>
  <c r="AX72" i="9" s="1"/>
  <c r="AG73" i="9"/>
  <c r="AX73" i="9" s="1"/>
  <c r="AG74" i="9"/>
  <c r="AX74" i="9" s="1"/>
  <c r="AG68" i="10"/>
  <c r="AX68" i="10" s="1"/>
  <c r="AG69" i="10"/>
  <c r="AX69" i="10" s="1"/>
  <c r="AG70" i="10"/>
  <c r="AX70" i="10" s="1"/>
  <c r="AG71" i="10"/>
  <c r="AX71" i="10" s="1"/>
  <c r="AG72" i="10"/>
  <c r="AX72" i="10" s="1"/>
  <c r="AG73" i="10"/>
  <c r="AX73" i="10" s="1"/>
  <c r="AG74" i="10"/>
  <c r="AX74" i="10" s="1"/>
  <c r="AG68" i="11"/>
  <c r="AX68" i="11" s="1"/>
  <c r="AG69" i="11"/>
  <c r="AX69" i="11" s="1"/>
  <c r="AG70" i="11"/>
  <c r="AX70" i="11" s="1"/>
  <c r="AG71" i="11"/>
  <c r="AX71" i="11" s="1"/>
  <c r="AG72" i="11"/>
  <c r="AX72" i="11" s="1"/>
  <c r="AG73" i="11"/>
  <c r="AX73" i="11" s="1"/>
  <c r="AG74" i="11"/>
  <c r="AX74" i="11" s="1"/>
  <c r="AG68" i="12"/>
  <c r="AX68" i="12" s="1"/>
  <c r="AG69" i="12"/>
  <c r="AX69" i="12" s="1"/>
  <c r="AG70" i="12"/>
  <c r="AX70" i="12" s="1"/>
  <c r="AG71" i="12"/>
  <c r="AX71" i="12" s="1"/>
  <c r="AG72" i="12"/>
  <c r="AX72" i="12" s="1"/>
  <c r="AG73" i="12"/>
  <c r="AX73" i="12" s="1"/>
  <c r="AG74" i="12"/>
  <c r="AX74" i="12" s="1"/>
  <c r="AG68" i="13"/>
  <c r="AX68" i="13" s="1"/>
  <c r="AG69" i="13"/>
  <c r="AX69" i="13" s="1"/>
  <c r="AG70" i="13"/>
  <c r="AX70" i="13" s="1"/>
  <c r="AG71" i="13"/>
  <c r="AX71" i="13" s="1"/>
  <c r="AG72" i="13"/>
  <c r="AX72" i="13" s="1"/>
  <c r="AG73" i="13"/>
  <c r="AX73" i="13" s="1"/>
  <c r="AG74" i="13"/>
  <c r="AX74" i="13" s="1"/>
  <c r="AG68" i="15"/>
  <c r="AX68" i="15" s="1"/>
  <c r="AG69" i="15"/>
  <c r="AX69" i="15" s="1"/>
  <c r="AG70" i="15"/>
  <c r="AX70" i="15" s="1"/>
  <c r="AG71" i="15"/>
  <c r="AX71" i="15" s="1"/>
  <c r="AG72" i="15"/>
  <c r="AX72" i="15" s="1"/>
  <c r="AG73" i="15"/>
  <c r="AX73" i="15" s="1"/>
  <c r="AG74" i="15"/>
  <c r="AX74" i="15" s="1"/>
  <c r="AG68" i="16"/>
  <c r="AX68" i="16" s="1"/>
  <c r="AG69" i="16"/>
  <c r="AX69" i="16" s="1"/>
  <c r="AG70" i="16"/>
  <c r="AX70" i="16" s="1"/>
  <c r="AG71" i="16"/>
  <c r="AX71" i="16" s="1"/>
  <c r="AG72" i="16"/>
  <c r="AX72" i="16" s="1"/>
  <c r="AG73" i="16"/>
  <c r="AX73" i="16" s="1"/>
  <c r="AG74" i="16"/>
  <c r="AX74" i="16" s="1"/>
  <c r="AG68" i="17"/>
  <c r="AX68" i="17" s="1"/>
  <c r="AG69" i="17"/>
  <c r="AX69" i="17" s="1"/>
  <c r="AG70" i="17"/>
  <c r="AX70" i="17" s="1"/>
  <c r="AG71" i="17"/>
  <c r="AX71" i="17" s="1"/>
  <c r="AG72" i="17"/>
  <c r="AX72" i="17" s="1"/>
  <c r="AG73" i="17"/>
  <c r="AX73" i="17" s="1"/>
  <c r="AG74" i="17"/>
  <c r="AX74" i="17" s="1"/>
  <c r="AG68" i="18"/>
  <c r="AX68" i="18" s="1"/>
  <c r="AG69" i="18"/>
  <c r="AX69" i="18" s="1"/>
  <c r="AG70" i="18"/>
  <c r="AX70" i="18" s="1"/>
  <c r="AG71" i="18"/>
  <c r="AX71" i="18" s="1"/>
  <c r="AG72" i="18"/>
  <c r="AX72" i="18" s="1"/>
  <c r="AG73" i="18"/>
  <c r="AX73" i="18" s="1"/>
  <c r="AG74" i="18"/>
  <c r="AX74" i="18" s="1"/>
  <c r="AG68" i="19"/>
  <c r="AX68" i="19" s="1"/>
  <c r="AG69" i="19"/>
  <c r="AX69" i="19" s="1"/>
  <c r="AG70" i="19"/>
  <c r="AX70" i="19" s="1"/>
  <c r="AG71" i="19"/>
  <c r="AX71" i="19" s="1"/>
  <c r="AG72" i="19"/>
  <c r="AX72" i="19" s="1"/>
  <c r="AG73" i="19"/>
  <c r="AX73" i="19" s="1"/>
  <c r="AG74" i="19"/>
  <c r="AX74" i="19" s="1"/>
  <c r="AG68" i="1"/>
  <c r="AX68" i="1" s="1"/>
  <c r="AX69" i="1"/>
  <c r="AG70" i="1"/>
  <c r="AX70" i="1" s="1"/>
  <c r="AG71" i="1"/>
  <c r="AG72" i="1"/>
  <c r="AX72" i="1" s="1"/>
  <c r="AG73" i="1"/>
  <c r="AX73" i="1" s="1"/>
  <c r="AG74" i="1"/>
  <c r="AX74" i="1" s="1"/>
  <c r="H68" i="2"/>
  <c r="H69" i="2"/>
  <c r="AH69" i="2" s="1"/>
  <c r="H70" i="2"/>
  <c r="AH70" i="2" s="1"/>
  <c r="H71" i="2"/>
  <c r="AH71" i="2" s="1"/>
  <c r="H72" i="2"/>
  <c r="H73" i="2"/>
  <c r="AH73" i="2" s="1"/>
  <c r="H74" i="2"/>
  <c r="AH74" i="2" s="1"/>
  <c r="H68" i="3"/>
  <c r="H69" i="3"/>
  <c r="H70" i="3"/>
  <c r="H71" i="3"/>
  <c r="AH71" i="3" s="1"/>
  <c r="H72" i="3"/>
  <c r="AH72" i="3" s="1"/>
  <c r="H73" i="3"/>
  <c r="H74" i="3"/>
  <c r="AH74" i="3" s="1"/>
  <c r="H68" i="4"/>
  <c r="H69" i="4"/>
  <c r="H70" i="4"/>
  <c r="AH70" i="4" s="1"/>
  <c r="H71" i="4"/>
  <c r="H72" i="4"/>
  <c r="AH72" i="4" s="1"/>
  <c r="H73" i="4"/>
  <c r="AH73" i="4" s="1"/>
  <c r="H74" i="4"/>
  <c r="AH74" i="4" s="1"/>
  <c r="H68" i="5"/>
  <c r="AH68" i="5" s="1"/>
  <c r="H69" i="5"/>
  <c r="H70" i="5"/>
  <c r="AH70" i="5" s="1"/>
  <c r="H71" i="5"/>
  <c r="H72" i="5"/>
  <c r="AH72" i="5" s="1"/>
  <c r="H73" i="5"/>
  <c r="AH73" i="5" s="1"/>
  <c r="H74" i="5"/>
  <c r="AH74" i="5" s="1"/>
  <c r="H68" i="6"/>
  <c r="H69" i="6"/>
  <c r="AH69" i="6" s="1"/>
  <c r="H70" i="6"/>
  <c r="AH70" i="6" s="1"/>
  <c r="H71" i="6"/>
  <c r="H72" i="6"/>
  <c r="AH72" i="6" s="1"/>
  <c r="H73" i="6"/>
  <c r="AH73" i="6" s="1"/>
  <c r="H74" i="6"/>
  <c r="AH74" i="6" s="1"/>
  <c r="H68" i="14"/>
  <c r="H69" i="14"/>
  <c r="H70" i="14"/>
  <c r="AH70" i="14" s="1"/>
  <c r="H71" i="14"/>
  <c r="H72" i="14"/>
  <c r="H73" i="14"/>
  <c r="H74" i="14"/>
  <c r="AH74" i="14" s="1"/>
  <c r="H68" i="7"/>
  <c r="AH68" i="7" s="1"/>
  <c r="H69" i="7"/>
  <c r="H70" i="7"/>
  <c r="H71" i="7"/>
  <c r="AH71" i="7" s="1"/>
  <c r="H72" i="7"/>
  <c r="AH72" i="7" s="1"/>
  <c r="H73" i="7"/>
  <c r="H74" i="7"/>
  <c r="H68" i="9"/>
  <c r="AH68" i="9" s="1"/>
  <c r="H69" i="9"/>
  <c r="H70" i="9"/>
  <c r="H71" i="9"/>
  <c r="H72" i="9"/>
  <c r="AH72" i="9" s="1"/>
  <c r="H73" i="9"/>
  <c r="AH73" i="9" s="1"/>
  <c r="H74" i="9"/>
  <c r="AH74" i="9" s="1"/>
  <c r="H68" i="10"/>
  <c r="H69" i="10"/>
  <c r="AH69" i="10" s="1"/>
  <c r="H70" i="10"/>
  <c r="H71" i="10"/>
  <c r="H72" i="10"/>
  <c r="H73" i="10"/>
  <c r="AH73" i="10" s="1"/>
  <c r="H74" i="10"/>
  <c r="AH74" i="10" s="1"/>
  <c r="H68" i="11"/>
  <c r="AH68" i="11" s="1"/>
  <c r="H69" i="11"/>
  <c r="H70" i="11"/>
  <c r="AH70" i="11" s="1"/>
  <c r="H71" i="11"/>
  <c r="AH71" i="11" s="1"/>
  <c r="H72" i="11"/>
  <c r="AH72" i="11" s="1"/>
  <c r="H73" i="11"/>
  <c r="AH73" i="11" s="1"/>
  <c r="H74" i="11"/>
  <c r="AH74" i="11" s="1"/>
  <c r="H68" i="12"/>
  <c r="AH68" i="12" s="1"/>
  <c r="H69" i="12"/>
  <c r="AH69" i="12" s="1"/>
  <c r="H70" i="12"/>
  <c r="AH70" i="12" s="1"/>
  <c r="H71" i="12"/>
  <c r="AH71" i="12" s="1"/>
  <c r="H72" i="12"/>
  <c r="AH72" i="12" s="1"/>
  <c r="H73" i="12"/>
  <c r="AH73" i="12" s="1"/>
  <c r="H74" i="12"/>
  <c r="AH74" i="12" s="1"/>
  <c r="H68" i="13"/>
  <c r="AH68" i="13" s="1"/>
  <c r="H69" i="13"/>
  <c r="AH69" i="13" s="1"/>
  <c r="H70" i="13"/>
  <c r="AH70" i="13" s="1"/>
  <c r="H71" i="13"/>
  <c r="H72" i="13"/>
  <c r="AH72" i="13" s="1"/>
  <c r="H73" i="13"/>
  <c r="AH73" i="13" s="1"/>
  <c r="H74" i="13"/>
  <c r="H68" i="15"/>
  <c r="AH68" i="15" s="1"/>
  <c r="H69" i="15"/>
  <c r="AH69" i="15" s="1"/>
  <c r="H70" i="15"/>
  <c r="AH70" i="15" s="1"/>
  <c r="H71" i="15"/>
  <c r="AH71" i="15" s="1"/>
  <c r="H72" i="15"/>
  <c r="H73" i="15"/>
  <c r="AH73" i="15" s="1"/>
  <c r="H74" i="15"/>
  <c r="AH74" i="15" s="1"/>
  <c r="H68" i="16"/>
  <c r="AH68" i="16" s="1"/>
  <c r="H69" i="16"/>
  <c r="AH69" i="16" s="1"/>
  <c r="H70" i="16"/>
  <c r="AH70" i="16" s="1"/>
  <c r="H71" i="16"/>
  <c r="H72" i="16"/>
  <c r="H73" i="16"/>
  <c r="AH73" i="16" s="1"/>
  <c r="H74" i="16"/>
  <c r="AH74" i="16" s="1"/>
  <c r="H68" i="17"/>
  <c r="AH68" i="17" s="1"/>
  <c r="H69" i="17"/>
  <c r="AH69" i="17" s="1"/>
  <c r="H70" i="17"/>
  <c r="AH70" i="17" s="1"/>
  <c r="H71" i="17"/>
  <c r="AH71" i="17" s="1"/>
  <c r="H72" i="17"/>
  <c r="AH72" i="17" s="1"/>
  <c r="H73" i="17"/>
  <c r="H74" i="17"/>
  <c r="AH74" i="17" s="1"/>
  <c r="H68" i="18"/>
  <c r="AH68" i="18" s="1"/>
  <c r="H69" i="18"/>
  <c r="AH69" i="18" s="1"/>
  <c r="H70" i="18"/>
  <c r="AH70" i="18" s="1"/>
  <c r="H71" i="18"/>
  <c r="AH71" i="18" s="1"/>
  <c r="H72" i="18"/>
  <c r="AH72" i="18" s="1"/>
  <c r="H73" i="18"/>
  <c r="AH73" i="18" s="1"/>
  <c r="H74" i="18"/>
  <c r="H68" i="19"/>
  <c r="H69" i="19"/>
  <c r="AH69" i="19" s="1"/>
  <c r="H70" i="19"/>
  <c r="AH70" i="19" s="1"/>
  <c r="H71" i="19"/>
  <c r="H72" i="19"/>
  <c r="H73" i="19"/>
  <c r="AH73" i="19" s="1"/>
  <c r="H74" i="19"/>
  <c r="AH74" i="19" s="1"/>
  <c r="H68" i="1"/>
  <c r="H69" i="1"/>
  <c r="H70" i="1"/>
  <c r="H71" i="1"/>
  <c r="H72" i="1"/>
  <c r="H73" i="1"/>
  <c r="H74" i="1"/>
  <c r="AH74" i="1" s="1"/>
  <c r="AH69" i="11" l="1"/>
  <c r="AH69" i="4"/>
  <c r="AH74" i="7"/>
  <c r="AH70" i="7"/>
  <c r="AH73" i="7"/>
  <c r="AH72" i="19"/>
  <c r="AH74" i="18"/>
  <c r="AH73" i="17"/>
  <c r="AH72" i="16"/>
  <c r="AH72" i="15"/>
  <c r="AH74" i="13"/>
  <c r="AH73" i="3"/>
  <c r="AH72" i="2"/>
  <c r="AH68" i="4"/>
  <c r="AH71" i="19"/>
  <c r="AH71" i="16"/>
  <c r="AH71" i="13"/>
  <c r="AH71" i="9"/>
  <c r="AH71" i="6"/>
  <c r="AH71" i="5"/>
  <c r="AH71" i="4"/>
  <c r="AH70" i="1"/>
  <c r="AH72" i="1"/>
  <c r="AH68" i="1"/>
  <c r="AH71" i="10"/>
  <c r="AH70" i="9"/>
  <c r="AH69" i="7"/>
  <c r="AH72" i="14"/>
  <c r="AH68" i="14"/>
  <c r="AH68" i="3"/>
  <c r="AH73" i="1"/>
  <c r="AH69" i="1"/>
  <c r="AH73" i="14"/>
  <c r="AH69" i="14"/>
  <c r="AH69" i="3"/>
  <c r="AH71" i="1"/>
  <c r="AX71" i="1"/>
  <c r="AH68" i="19"/>
  <c r="AH72" i="10"/>
  <c r="AH68" i="10"/>
  <c r="AH69" i="9"/>
  <c r="AH71" i="14"/>
  <c r="AH68" i="6"/>
  <c r="AH69" i="5"/>
  <c r="AH68" i="2"/>
  <c r="AH70" i="10"/>
  <c r="AH70" i="3"/>
  <c r="M67" i="13" l="1"/>
  <c r="M69" i="22" s="1"/>
  <c r="H69" i="22" s="1"/>
  <c r="AH69" i="22" s="1"/>
  <c r="G36" i="2" l="1"/>
  <c r="F36" i="2"/>
  <c r="E36" i="2"/>
  <c r="H16" i="1" l="1"/>
  <c r="H17" i="1"/>
  <c r="H18" i="1"/>
  <c r="H19" i="1"/>
  <c r="H20" i="1"/>
  <c r="H21" i="1"/>
  <c r="H22" i="1"/>
  <c r="H23" i="1"/>
  <c r="H24" i="1"/>
  <c r="H25" i="1"/>
  <c r="H26" i="1"/>
  <c r="E34" i="1"/>
  <c r="F34" i="1"/>
  <c r="H34" i="1"/>
  <c r="E35" i="1"/>
  <c r="F35" i="1"/>
  <c r="H35" i="1"/>
  <c r="H36" i="1"/>
  <c r="H37" i="1"/>
  <c r="E38" i="1"/>
  <c r="F38" i="1"/>
  <c r="H38" i="1"/>
  <c r="E39" i="1"/>
  <c r="F39" i="1"/>
  <c r="H39" i="1"/>
  <c r="H40" i="1"/>
  <c r="E41" i="1"/>
  <c r="F41" i="1"/>
  <c r="H41" i="1"/>
  <c r="H42" i="1"/>
  <c r="H43" i="1"/>
  <c r="H44" i="1"/>
  <c r="E45" i="1"/>
  <c r="F45" i="1"/>
  <c r="H45" i="1"/>
  <c r="H46" i="1"/>
  <c r="E47" i="1"/>
  <c r="F47" i="1"/>
  <c r="H47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H54" i="1"/>
  <c r="E55" i="1"/>
  <c r="F55" i="1"/>
  <c r="H55" i="1"/>
  <c r="H56" i="1"/>
  <c r="H57" i="1"/>
  <c r="E58" i="1"/>
  <c r="F58" i="1"/>
  <c r="H58" i="1"/>
  <c r="H59" i="1"/>
  <c r="H60" i="1"/>
  <c r="H61" i="1"/>
  <c r="H62" i="1"/>
  <c r="E63" i="1"/>
  <c r="F63" i="1"/>
  <c r="H63" i="1"/>
  <c r="H64" i="1"/>
  <c r="E65" i="1"/>
  <c r="F65" i="1"/>
  <c r="H65" i="1"/>
  <c r="E66" i="1"/>
  <c r="F66" i="1"/>
  <c r="H66" i="1"/>
  <c r="H67" i="1"/>
  <c r="E70" i="1"/>
  <c r="E71" i="1"/>
  <c r="F71" i="1"/>
  <c r="M13" i="17"/>
  <c r="H16" i="17"/>
  <c r="H17" i="17"/>
  <c r="H18" i="17"/>
  <c r="H19" i="17"/>
  <c r="H20" i="17"/>
  <c r="H21" i="17"/>
  <c r="H22" i="17"/>
  <c r="H23" i="17"/>
  <c r="H24" i="17"/>
  <c r="H25" i="17"/>
  <c r="H26" i="17"/>
  <c r="H31" i="17"/>
  <c r="E74" i="17" s="1"/>
  <c r="E34" i="17"/>
  <c r="F34" i="17"/>
  <c r="H34" i="17"/>
  <c r="E35" i="17"/>
  <c r="F35" i="17"/>
  <c r="H35" i="17"/>
  <c r="H36" i="17"/>
  <c r="H37" i="17"/>
  <c r="E38" i="17"/>
  <c r="F38" i="17"/>
  <c r="H38" i="17"/>
  <c r="E39" i="17"/>
  <c r="F39" i="17"/>
  <c r="H40" i="17"/>
  <c r="H41" i="17"/>
  <c r="H42" i="17"/>
  <c r="H43" i="17"/>
  <c r="E44" i="17"/>
  <c r="F44" i="17"/>
  <c r="H44" i="17"/>
  <c r="E45" i="17"/>
  <c r="F45" i="17"/>
  <c r="H45" i="17"/>
  <c r="H46" i="17"/>
  <c r="E47" i="17"/>
  <c r="F47" i="17"/>
  <c r="H47" i="17"/>
  <c r="H48" i="17"/>
  <c r="E49" i="17"/>
  <c r="F49" i="17"/>
  <c r="H49" i="17"/>
  <c r="E50" i="17"/>
  <c r="F50" i="17"/>
  <c r="H50" i="17"/>
  <c r="E51" i="17"/>
  <c r="F51" i="17"/>
  <c r="H51" i="17"/>
  <c r="E52" i="17"/>
  <c r="F52" i="17"/>
  <c r="H52" i="17"/>
  <c r="E53" i="17"/>
  <c r="F53" i="17"/>
  <c r="H53" i="17"/>
  <c r="E54" i="17"/>
  <c r="F54" i="17"/>
  <c r="H54" i="17"/>
  <c r="H55" i="17"/>
  <c r="H56" i="17"/>
  <c r="E57" i="17"/>
  <c r="F57" i="17"/>
  <c r="H57" i="17"/>
  <c r="E58" i="17"/>
  <c r="F58" i="17"/>
  <c r="H58" i="17"/>
  <c r="H59" i="17"/>
  <c r="E60" i="17"/>
  <c r="H60" i="17"/>
  <c r="E61" i="17"/>
  <c r="F61" i="17"/>
  <c r="G61" i="17"/>
  <c r="H61" i="17"/>
  <c r="H62" i="17"/>
  <c r="E63" i="17"/>
  <c r="F63" i="17"/>
  <c r="H63" i="17"/>
  <c r="E64" i="17"/>
  <c r="F64" i="17"/>
  <c r="H64" i="17"/>
  <c r="E65" i="17"/>
  <c r="F65" i="17"/>
  <c r="H65" i="17"/>
  <c r="H66" i="17"/>
  <c r="H67" i="17"/>
  <c r="G68" i="17" s="1"/>
  <c r="E70" i="17"/>
  <c r="F70" i="17"/>
  <c r="G70" i="17"/>
  <c r="F73" i="17"/>
  <c r="F74" i="17"/>
  <c r="H16" i="16"/>
  <c r="H17" i="16"/>
  <c r="H18" i="16"/>
  <c r="H19" i="16"/>
  <c r="H20" i="16"/>
  <c r="H21" i="16"/>
  <c r="H22" i="16"/>
  <c r="H23" i="16"/>
  <c r="E34" i="16"/>
  <c r="F34" i="16"/>
  <c r="H34" i="16"/>
  <c r="E35" i="16"/>
  <c r="F35" i="16"/>
  <c r="H35" i="16"/>
  <c r="H36" i="16"/>
  <c r="H37" i="16"/>
  <c r="E38" i="16"/>
  <c r="F38" i="16"/>
  <c r="H38" i="16"/>
  <c r="E39" i="16"/>
  <c r="F39" i="16"/>
  <c r="H39" i="16"/>
  <c r="H40" i="16"/>
  <c r="H41" i="16"/>
  <c r="H42" i="16"/>
  <c r="E43" i="16"/>
  <c r="F43" i="16"/>
  <c r="H43" i="16"/>
  <c r="H44" i="16"/>
  <c r="E45" i="16"/>
  <c r="F45" i="16"/>
  <c r="H45" i="16"/>
  <c r="H46" i="16"/>
  <c r="E47" i="16"/>
  <c r="F47" i="16"/>
  <c r="H47" i="16"/>
  <c r="H48" i="16"/>
  <c r="E49" i="16"/>
  <c r="F49" i="16"/>
  <c r="H49" i="16"/>
  <c r="E50" i="16"/>
  <c r="F50" i="16"/>
  <c r="H50" i="16"/>
  <c r="E51" i="16"/>
  <c r="F51" i="16"/>
  <c r="H51" i="16"/>
  <c r="E52" i="16"/>
  <c r="F52" i="16"/>
  <c r="H52" i="16"/>
  <c r="E53" i="16"/>
  <c r="F53" i="16"/>
  <c r="H53" i="16"/>
  <c r="H54" i="16"/>
  <c r="H55" i="16"/>
  <c r="H56" i="16"/>
  <c r="H57" i="16"/>
  <c r="E58" i="16"/>
  <c r="F58" i="16"/>
  <c r="H58" i="16"/>
  <c r="H59" i="16"/>
  <c r="H60" i="16"/>
  <c r="H61" i="16"/>
  <c r="H62" i="16"/>
  <c r="E63" i="16"/>
  <c r="F63" i="16"/>
  <c r="H63" i="16"/>
  <c r="H64" i="16"/>
  <c r="E65" i="16"/>
  <c r="F65" i="16"/>
  <c r="H65" i="16"/>
  <c r="H66" i="16"/>
  <c r="H67" i="16"/>
  <c r="E70" i="16"/>
  <c r="F70" i="16"/>
  <c r="G70" i="16"/>
  <c r="E71" i="16"/>
  <c r="F71" i="16"/>
  <c r="E80" i="16"/>
  <c r="H16" i="15"/>
  <c r="H17" i="15"/>
  <c r="H18" i="15"/>
  <c r="H19" i="15"/>
  <c r="H20" i="15"/>
  <c r="H21" i="15"/>
  <c r="H22" i="15"/>
  <c r="H23" i="15"/>
  <c r="H24" i="15"/>
  <c r="H25" i="15"/>
  <c r="H26" i="15"/>
  <c r="H31" i="15"/>
  <c r="E73" i="15" s="1"/>
  <c r="E34" i="15"/>
  <c r="F34" i="15"/>
  <c r="H34" i="15"/>
  <c r="E35" i="15"/>
  <c r="F35" i="15"/>
  <c r="H35" i="15"/>
  <c r="H36" i="15"/>
  <c r="H37" i="15"/>
  <c r="E38" i="15"/>
  <c r="F38" i="15"/>
  <c r="H38" i="15"/>
  <c r="E39" i="15"/>
  <c r="F39" i="15"/>
  <c r="H39" i="15"/>
  <c r="H40" i="15"/>
  <c r="E41" i="15"/>
  <c r="F41" i="15"/>
  <c r="H41" i="15"/>
  <c r="H42" i="15"/>
  <c r="E43" i="15"/>
  <c r="F43" i="15"/>
  <c r="H43" i="15"/>
  <c r="E44" i="15"/>
  <c r="F44" i="15"/>
  <c r="H44" i="15"/>
  <c r="E45" i="15"/>
  <c r="F45" i="15"/>
  <c r="H45" i="15"/>
  <c r="H46" i="15"/>
  <c r="E47" i="15"/>
  <c r="F47" i="15"/>
  <c r="H47" i="15"/>
  <c r="H48" i="15"/>
  <c r="E49" i="15"/>
  <c r="F49" i="15"/>
  <c r="H49" i="15"/>
  <c r="E50" i="15"/>
  <c r="F50" i="15"/>
  <c r="H50" i="15"/>
  <c r="E51" i="15"/>
  <c r="F51" i="15"/>
  <c r="H51" i="15"/>
  <c r="E52" i="15"/>
  <c r="F52" i="15"/>
  <c r="H52" i="15"/>
  <c r="E53" i="15"/>
  <c r="F53" i="15"/>
  <c r="H53" i="15"/>
  <c r="H54" i="15"/>
  <c r="H55" i="15"/>
  <c r="E56" i="15"/>
  <c r="F56" i="15"/>
  <c r="H56" i="15"/>
  <c r="E57" i="15"/>
  <c r="F57" i="15"/>
  <c r="H57" i="15"/>
  <c r="E58" i="15"/>
  <c r="F58" i="15"/>
  <c r="H58" i="15"/>
  <c r="H59" i="15"/>
  <c r="E60" i="15"/>
  <c r="F60" i="15"/>
  <c r="G60" i="15"/>
  <c r="H60" i="15"/>
  <c r="H61" i="15"/>
  <c r="H62" i="15"/>
  <c r="E63" i="15"/>
  <c r="F63" i="15"/>
  <c r="H63" i="15"/>
  <c r="E64" i="15"/>
  <c r="F64" i="15"/>
  <c r="H64" i="15"/>
  <c r="E65" i="15"/>
  <c r="F65" i="15"/>
  <c r="H65" i="15"/>
  <c r="H66" i="15"/>
  <c r="H67" i="15"/>
  <c r="E70" i="15"/>
  <c r="F70" i="15"/>
  <c r="G70" i="15"/>
  <c r="F73" i="15"/>
  <c r="E74" i="15"/>
  <c r="G74" i="15"/>
  <c r="H16" i="13"/>
  <c r="H17" i="13"/>
  <c r="H18" i="13"/>
  <c r="H19" i="13"/>
  <c r="H20" i="13"/>
  <c r="H21" i="13"/>
  <c r="H22" i="13"/>
  <c r="H23" i="13"/>
  <c r="H24" i="13"/>
  <c r="H25" i="13"/>
  <c r="H26" i="13"/>
  <c r="H31" i="13"/>
  <c r="G73" i="13" s="1"/>
  <c r="E34" i="13"/>
  <c r="F34" i="13"/>
  <c r="H34" i="13"/>
  <c r="E35" i="13"/>
  <c r="F35" i="13"/>
  <c r="H35" i="13"/>
  <c r="E36" i="13"/>
  <c r="F36" i="13"/>
  <c r="G36" i="13"/>
  <c r="H36" i="13"/>
  <c r="H37" i="13"/>
  <c r="E38" i="13"/>
  <c r="F38" i="13"/>
  <c r="H38" i="13"/>
  <c r="E39" i="13"/>
  <c r="F39" i="13"/>
  <c r="H39" i="13"/>
  <c r="H40" i="13"/>
  <c r="E41" i="13"/>
  <c r="F41" i="13"/>
  <c r="H41" i="13"/>
  <c r="H42" i="13"/>
  <c r="E43" i="13"/>
  <c r="F43" i="13"/>
  <c r="H43" i="13"/>
  <c r="E44" i="13"/>
  <c r="F44" i="13"/>
  <c r="H44" i="13"/>
  <c r="E45" i="13"/>
  <c r="F45" i="13"/>
  <c r="H45" i="13"/>
  <c r="H46" i="13"/>
  <c r="E47" i="13"/>
  <c r="F47" i="13"/>
  <c r="H47" i="13"/>
  <c r="H48" i="13"/>
  <c r="E49" i="13"/>
  <c r="F49" i="13"/>
  <c r="H49" i="13"/>
  <c r="E50" i="13"/>
  <c r="F50" i="13"/>
  <c r="H50" i="13"/>
  <c r="E51" i="13"/>
  <c r="F51" i="13"/>
  <c r="H51" i="13"/>
  <c r="E52" i="13"/>
  <c r="F52" i="13"/>
  <c r="H52" i="13"/>
  <c r="E53" i="13"/>
  <c r="F53" i="13"/>
  <c r="H53" i="13"/>
  <c r="E54" i="13"/>
  <c r="F54" i="13"/>
  <c r="H54" i="13"/>
  <c r="H55" i="13"/>
  <c r="E56" i="13"/>
  <c r="F56" i="13"/>
  <c r="H56" i="13"/>
  <c r="E57" i="13"/>
  <c r="F57" i="13"/>
  <c r="H57" i="13"/>
  <c r="E58" i="13"/>
  <c r="F58" i="13"/>
  <c r="H58" i="13"/>
  <c r="H59" i="13"/>
  <c r="E60" i="13"/>
  <c r="F60" i="13"/>
  <c r="G60" i="13"/>
  <c r="H60" i="13"/>
  <c r="H61" i="13"/>
  <c r="H62" i="13"/>
  <c r="E63" i="13"/>
  <c r="F63" i="13"/>
  <c r="H63" i="13"/>
  <c r="E64" i="13"/>
  <c r="F64" i="13"/>
  <c r="H64" i="13"/>
  <c r="E65" i="13"/>
  <c r="F65" i="13"/>
  <c r="H65" i="13"/>
  <c r="E66" i="13"/>
  <c r="F66" i="13"/>
  <c r="H66" i="13"/>
  <c r="H67" i="13"/>
  <c r="E70" i="13"/>
  <c r="F70" i="13"/>
  <c r="G70" i="13"/>
  <c r="E71" i="13"/>
  <c r="F71" i="13"/>
  <c r="E80" i="13"/>
  <c r="H16" i="12"/>
  <c r="H17" i="12"/>
  <c r="H18" i="12"/>
  <c r="H19" i="12"/>
  <c r="H20" i="12"/>
  <c r="H21" i="12"/>
  <c r="AH21" i="12" s="1"/>
  <c r="H22" i="12"/>
  <c r="H23" i="12"/>
  <c r="H24" i="12"/>
  <c r="H25" i="12"/>
  <c r="H26" i="12"/>
  <c r="L31" i="12"/>
  <c r="E72" i="12" s="1"/>
  <c r="E34" i="12"/>
  <c r="F34" i="12"/>
  <c r="H34" i="12"/>
  <c r="E35" i="12"/>
  <c r="F35" i="12"/>
  <c r="H35" i="12"/>
  <c r="H36" i="12"/>
  <c r="H37" i="12"/>
  <c r="E38" i="12"/>
  <c r="F38" i="12"/>
  <c r="H38" i="12"/>
  <c r="G38" i="12" s="1"/>
  <c r="E39" i="12"/>
  <c r="F39" i="12"/>
  <c r="H39" i="12"/>
  <c r="G39" i="12" s="1"/>
  <c r="H40" i="12"/>
  <c r="H41" i="12"/>
  <c r="H42" i="12"/>
  <c r="E43" i="12"/>
  <c r="F43" i="12"/>
  <c r="H43" i="12"/>
  <c r="H44" i="12"/>
  <c r="E45" i="12"/>
  <c r="F45" i="12"/>
  <c r="H45" i="12"/>
  <c r="H46" i="12"/>
  <c r="E47" i="12"/>
  <c r="F47" i="12"/>
  <c r="H47" i="12"/>
  <c r="E48" i="12"/>
  <c r="F48" i="12"/>
  <c r="G48" i="12"/>
  <c r="H48" i="12"/>
  <c r="E49" i="12"/>
  <c r="F49" i="12"/>
  <c r="H49" i="12"/>
  <c r="E50" i="12"/>
  <c r="F50" i="12"/>
  <c r="H50" i="12"/>
  <c r="E51" i="12"/>
  <c r="F51" i="12"/>
  <c r="H51" i="12"/>
  <c r="E52" i="12"/>
  <c r="F52" i="12"/>
  <c r="H52" i="12"/>
  <c r="E53" i="12"/>
  <c r="F53" i="12"/>
  <c r="H53" i="12"/>
  <c r="E54" i="12"/>
  <c r="F54" i="12"/>
  <c r="H54" i="12"/>
  <c r="H55" i="12"/>
  <c r="H56" i="12"/>
  <c r="H57" i="12"/>
  <c r="E58" i="12"/>
  <c r="F58" i="12"/>
  <c r="H58" i="12"/>
  <c r="H59" i="12"/>
  <c r="H60" i="12"/>
  <c r="H61" i="12"/>
  <c r="H62" i="12"/>
  <c r="E63" i="12"/>
  <c r="F63" i="12"/>
  <c r="H63" i="12"/>
  <c r="H64" i="12"/>
  <c r="E65" i="12"/>
  <c r="F65" i="12"/>
  <c r="H65" i="12"/>
  <c r="E66" i="12"/>
  <c r="F66" i="12"/>
  <c r="H66" i="12"/>
  <c r="H67" i="12"/>
  <c r="E70" i="12"/>
  <c r="F70" i="12"/>
  <c r="G70" i="12"/>
  <c r="E71" i="12"/>
  <c r="F71" i="12"/>
  <c r="H16" i="11"/>
  <c r="H17" i="11"/>
  <c r="H18" i="11"/>
  <c r="H19" i="11"/>
  <c r="H20" i="11"/>
  <c r="H21" i="11"/>
  <c r="H22" i="11"/>
  <c r="H23" i="11"/>
  <c r="H24" i="11"/>
  <c r="H25" i="11"/>
  <c r="H26" i="11"/>
  <c r="E34" i="11"/>
  <c r="F34" i="11"/>
  <c r="H34" i="11"/>
  <c r="E35" i="11"/>
  <c r="F35" i="11"/>
  <c r="H35" i="11"/>
  <c r="E36" i="11"/>
  <c r="F36" i="11"/>
  <c r="G36" i="11"/>
  <c r="H36" i="11"/>
  <c r="H37" i="11"/>
  <c r="E38" i="11"/>
  <c r="F38" i="11"/>
  <c r="H38" i="11"/>
  <c r="E39" i="11"/>
  <c r="F39" i="11"/>
  <c r="H39" i="11"/>
  <c r="H40" i="11"/>
  <c r="E41" i="11"/>
  <c r="F41" i="11"/>
  <c r="H41" i="11"/>
  <c r="H42" i="11"/>
  <c r="E43" i="11"/>
  <c r="F43" i="11"/>
  <c r="H43" i="11"/>
  <c r="H44" i="11"/>
  <c r="E45" i="11"/>
  <c r="F45" i="11"/>
  <c r="H45" i="11"/>
  <c r="H46" i="11"/>
  <c r="E47" i="11"/>
  <c r="F47" i="11"/>
  <c r="H47" i="11"/>
  <c r="H48" i="11"/>
  <c r="E49" i="11"/>
  <c r="F49" i="11"/>
  <c r="H49" i="11"/>
  <c r="E50" i="11"/>
  <c r="F50" i="11"/>
  <c r="H50" i="11"/>
  <c r="E51" i="11"/>
  <c r="F51" i="11"/>
  <c r="H51" i="11"/>
  <c r="E52" i="11"/>
  <c r="F52" i="11"/>
  <c r="H52" i="11"/>
  <c r="E53" i="11"/>
  <c r="F53" i="11"/>
  <c r="H53" i="11"/>
  <c r="E54" i="11"/>
  <c r="F54" i="11"/>
  <c r="H54" i="11"/>
  <c r="E55" i="11"/>
  <c r="F55" i="11"/>
  <c r="H55" i="11"/>
  <c r="H56" i="11"/>
  <c r="H57" i="11"/>
  <c r="E58" i="11"/>
  <c r="F58" i="11"/>
  <c r="H58" i="11"/>
  <c r="H59" i="11"/>
  <c r="H60" i="11"/>
  <c r="H61" i="11"/>
  <c r="H62" i="11"/>
  <c r="E63" i="11"/>
  <c r="F63" i="11"/>
  <c r="H63" i="11"/>
  <c r="H64" i="11"/>
  <c r="E65" i="11"/>
  <c r="F65" i="11"/>
  <c r="H65" i="11"/>
  <c r="E66" i="11"/>
  <c r="F66" i="11"/>
  <c r="H66" i="11"/>
  <c r="H67" i="11"/>
  <c r="E70" i="11"/>
  <c r="F70" i="11"/>
  <c r="G70" i="11"/>
  <c r="H16" i="10"/>
  <c r="H17" i="10"/>
  <c r="H18" i="10"/>
  <c r="H19" i="10"/>
  <c r="H20" i="10"/>
  <c r="H21" i="10"/>
  <c r="H22" i="10"/>
  <c r="H23" i="10"/>
  <c r="H24" i="10"/>
  <c r="H25" i="10"/>
  <c r="H26" i="10"/>
  <c r="E34" i="10"/>
  <c r="F34" i="10"/>
  <c r="H34" i="10"/>
  <c r="E35" i="10"/>
  <c r="F35" i="10"/>
  <c r="H35" i="10"/>
  <c r="H36" i="10"/>
  <c r="H37" i="10"/>
  <c r="E38" i="10"/>
  <c r="F38" i="10"/>
  <c r="H38" i="10"/>
  <c r="E39" i="10"/>
  <c r="F39" i="10"/>
  <c r="H39" i="10"/>
  <c r="H40" i="10"/>
  <c r="E41" i="10"/>
  <c r="F41" i="10"/>
  <c r="H41" i="10"/>
  <c r="H42" i="10"/>
  <c r="H43" i="10"/>
  <c r="H44" i="10"/>
  <c r="E45" i="10"/>
  <c r="F45" i="10"/>
  <c r="H45" i="10"/>
  <c r="H46" i="10"/>
  <c r="E47" i="10"/>
  <c r="F47" i="10"/>
  <c r="H47" i="10"/>
  <c r="E48" i="10"/>
  <c r="F48" i="10"/>
  <c r="G48" i="10"/>
  <c r="H48" i="10"/>
  <c r="E49" i="10"/>
  <c r="F49" i="10"/>
  <c r="H49" i="10"/>
  <c r="E50" i="10"/>
  <c r="F50" i="10"/>
  <c r="H50" i="10"/>
  <c r="G50" i="10" s="1"/>
  <c r="E51" i="10"/>
  <c r="F51" i="10"/>
  <c r="H51" i="10"/>
  <c r="G51" i="10" s="1"/>
  <c r="E52" i="10"/>
  <c r="F52" i="10"/>
  <c r="H52" i="10"/>
  <c r="G52" i="10" s="1"/>
  <c r="E53" i="10"/>
  <c r="F53" i="10"/>
  <c r="H53" i="10"/>
  <c r="G53" i="10" s="1"/>
  <c r="H54" i="10"/>
  <c r="E55" i="10"/>
  <c r="F55" i="10"/>
  <c r="H55" i="10"/>
  <c r="H56" i="10"/>
  <c r="H57" i="10"/>
  <c r="E58" i="10"/>
  <c r="F58" i="10"/>
  <c r="H58" i="10"/>
  <c r="H59" i="10"/>
  <c r="H60" i="10"/>
  <c r="H61" i="10"/>
  <c r="H62" i="10"/>
  <c r="E63" i="10"/>
  <c r="F63" i="10"/>
  <c r="H63" i="10"/>
  <c r="H64" i="10"/>
  <c r="E65" i="10"/>
  <c r="F65" i="10"/>
  <c r="H65" i="10"/>
  <c r="H66" i="10"/>
  <c r="H67" i="10"/>
  <c r="E70" i="10"/>
  <c r="F70" i="10"/>
  <c r="G70" i="10"/>
  <c r="E71" i="10"/>
  <c r="F71" i="10"/>
  <c r="H16" i="9"/>
  <c r="H17" i="9"/>
  <c r="H18" i="9"/>
  <c r="H19" i="9"/>
  <c r="H20" i="9"/>
  <c r="H21" i="9"/>
  <c r="H22" i="9"/>
  <c r="H23" i="9"/>
  <c r="H24" i="9"/>
  <c r="H25" i="9"/>
  <c r="H26" i="9"/>
  <c r="E34" i="9"/>
  <c r="F34" i="9"/>
  <c r="H34" i="9"/>
  <c r="E35" i="9"/>
  <c r="F35" i="9"/>
  <c r="H35" i="9"/>
  <c r="H36" i="9"/>
  <c r="H37" i="9"/>
  <c r="E38" i="9"/>
  <c r="F38" i="9"/>
  <c r="H38" i="9"/>
  <c r="E39" i="9"/>
  <c r="F39" i="9"/>
  <c r="H39" i="9"/>
  <c r="H40" i="9"/>
  <c r="E41" i="9"/>
  <c r="F41" i="9"/>
  <c r="H41" i="9"/>
  <c r="H42" i="9"/>
  <c r="E43" i="9"/>
  <c r="F43" i="9"/>
  <c r="H43" i="9"/>
  <c r="H44" i="9"/>
  <c r="E45" i="9"/>
  <c r="F45" i="9"/>
  <c r="H45" i="9"/>
  <c r="H46" i="9"/>
  <c r="E47" i="9"/>
  <c r="F47" i="9"/>
  <c r="H47" i="9"/>
  <c r="E48" i="9"/>
  <c r="F48" i="9"/>
  <c r="G48" i="9"/>
  <c r="H48" i="9"/>
  <c r="E49" i="9"/>
  <c r="F49" i="9"/>
  <c r="H49" i="9"/>
  <c r="E50" i="9"/>
  <c r="F50" i="9"/>
  <c r="H50" i="9"/>
  <c r="E51" i="9"/>
  <c r="F51" i="9"/>
  <c r="H51" i="9"/>
  <c r="E52" i="9"/>
  <c r="F52" i="9"/>
  <c r="H52" i="9"/>
  <c r="E53" i="9"/>
  <c r="F53" i="9"/>
  <c r="H53" i="9"/>
  <c r="E54" i="9"/>
  <c r="F54" i="9"/>
  <c r="H54" i="9"/>
  <c r="E55" i="9"/>
  <c r="F55" i="9"/>
  <c r="H55" i="9"/>
  <c r="H56" i="9"/>
  <c r="E57" i="9"/>
  <c r="F57" i="9"/>
  <c r="H57" i="9"/>
  <c r="E58" i="9"/>
  <c r="F58" i="9"/>
  <c r="H58" i="9"/>
  <c r="H59" i="9"/>
  <c r="H60" i="9"/>
  <c r="H61" i="9"/>
  <c r="H62" i="9"/>
  <c r="E63" i="9"/>
  <c r="F63" i="9"/>
  <c r="H63" i="9"/>
  <c r="H64" i="9"/>
  <c r="E65" i="9"/>
  <c r="F65" i="9"/>
  <c r="H65" i="9"/>
  <c r="H66" i="9"/>
  <c r="H67" i="9"/>
  <c r="E70" i="9"/>
  <c r="F70" i="9"/>
  <c r="G70" i="9"/>
  <c r="E71" i="9"/>
  <c r="F71" i="9"/>
  <c r="H16" i="7"/>
  <c r="H17" i="7"/>
  <c r="H18" i="7"/>
  <c r="H19" i="7"/>
  <c r="H20" i="7"/>
  <c r="H21" i="7"/>
  <c r="H22" i="7"/>
  <c r="H23" i="7"/>
  <c r="H24" i="7"/>
  <c r="H25" i="7"/>
  <c r="H26" i="7"/>
  <c r="E34" i="7"/>
  <c r="F34" i="7"/>
  <c r="H34" i="7"/>
  <c r="E35" i="7"/>
  <c r="F35" i="7"/>
  <c r="H35" i="7"/>
  <c r="E36" i="7"/>
  <c r="F36" i="7"/>
  <c r="G36" i="7"/>
  <c r="H36" i="7"/>
  <c r="H37" i="7"/>
  <c r="E38" i="7"/>
  <c r="F38" i="7"/>
  <c r="H38" i="7"/>
  <c r="E39" i="7"/>
  <c r="F39" i="7"/>
  <c r="H39" i="7"/>
  <c r="H40" i="7"/>
  <c r="H41" i="7"/>
  <c r="H42" i="7"/>
  <c r="E43" i="7"/>
  <c r="F43" i="7"/>
  <c r="H43" i="7"/>
  <c r="H44" i="7"/>
  <c r="E45" i="7"/>
  <c r="F45" i="7"/>
  <c r="H45" i="7"/>
  <c r="H46" i="7"/>
  <c r="E47" i="7"/>
  <c r="F47" i="7"/>
  <c r="H47" i="7"/>
  <c r="E48" i="7"/>
  <c r="F48" i="7"/>
  <c r="G48" i="7"/>
  <c r="H48" i="7"/>
  <c r="E49" i="7"/>
  <c r="F49" i="7"/>
  <c r="H49" i="7"/>
  <c r="E50" i="7"/>
  <c r="F50" i="7"/>
  <c r="H50" i="7"/>
  <c r="G50" i="7" s="1"/>
  <c r="E51" i="7"/>
  <c r="F51" i="7"/>
  <c r="H51" i="7"/>
  <c r="G51" i="7" s="1"/>
  <c r="E52" i="7"/>
  <c r="F52" i="7"/>
  <c r="H52" i="7"/>
  <c r="G52" i="7" s="1"/>
  <c r="E53" i="7"/>
  <c r="F53" i="7"/>
  <c r="H53" i="7"/>
  <c r="G53" i="7" s="1"/>
  <c r="E54" i="7"/>
  <c r="F54" i="7"/>
  <c r="H54" i="7"/>
  <c r="H55" i="7"/>
  <c r="H56" i="7"/>
  <c r="E57" i="7"/>
  <c r="F57" i="7"/>
  <c r="H57" i="7"/>
  <c r="E58" i="7"/>
  <c r="F58" i="7"/>
  <c r="H58" i="7"/>
  <c r="H59" i="7"/>
  <c r="H60" i="7"/>
  <c r="H61" i="7"/>
  <c r="H62" i="7"/>
  <c r="E63" i="7"/>
  <c r="F63" i="7"/>
  <c r="H63" i="7"/>
  <c r="H64" i="7"/>
  <c r="E65" i="7"/>
  <c r="F65" i="7"/>
  <c r="H65" i="7"/>
  <c r="H66" i="7"/>
  <c r="H67" i="7"/>
  <c r="E70" i="7"/>
  <c r="F70" i="7"/>
  <c r="G70" i="7"/>
  <c r="E71" i="7"/>
  <c r="F71" i="7"/>
  <c r="H34" i="14"/>
  <c r="H35" i="14"/>
  <c r="H36" i="14"/>
  <c r="H37" i="14"/>
  <c r="H38" i="14"/>
  <c r="H39" i="14"/>
  <c r="H40" i="14"/>
  <c r="E41" i="14"/>
  <c r="F41" i="14"/>
  <c r="H41" i="14"/>
  <c r="H42" i="14"/>
  <c r="E43" i="14"/>
  <c r="F43" i="14"/>
  <c r="H43" i="14"/>
  <c r="H44" i="14"/>
  <c r="E45" i="14"/>
  <c r="F45" i="14"/>
  <c r="H45" i="14"/>
  <c r="H46" i="14"/>
  <c r="H47" i="14"/>
  <c r="H48" i="14"/>
  <c r="H49" i="14"/>
  <c r="E50" i="14"/>
  <c r="F50" i="14"/>
  <c r="H50" i="14"/>
  <c r="E51" i="14"/>
  <c r="F51" i="14"/>
  <c r="H51" i="14"/>
  <c r="E52" i="14"/>
  <c r="F52" i="14"/>
  <c r="H52" i="14"/>
  <c r="E53" i="14"/>
  <c r="F53" i="14"/>
  <c r="H53" i="14"/>
  <c r="E54" i="14"/>
  <c r="F54" i="14"/>
  <c r="H54" i="14"/>
  <c r="H55" i="14"/>
  <c r="H56" i="14"/>
  <c r="H57" i="14"/>
  <c r="H58" i="14"/>
  <c r="H59" i="14"/>
  <c r="H60" i="14"/>
  <c r="H61" i="14"/>
  <c r="H62" i="14"/>
  <c r="H63" i="14"/>
  <c r="H64" i="14"/>
  <c r="E65" i="14"/>
  <c r="F65" i="14"/>
  <c r="H65" i="14"/>
  <c r="H66" i="14"/>
  <c r="H67" i="14"/>
  <c r="H16" i="6"/>
  <c r="H17" i="6"/>
  <c r="H18" i="6"/>
  <c r="H19" i="6"/>
  <c r="H20" i="6"/>
  <c r="H21" i="6"/>
  <c r="H22" i="6"/>
  <c r="H23" i="6"/>
  <c r="H24" i="6"/>
  <c r="H25" i="6"/>
  <c r="H26" i="6"/>
  <c r="E34" i="6"/>
  <c r="F34" i="6"/>
  <c r="H34" i="6"/>
  <c r="E35" i="6"/>
  <c r="F35" i="6"/>
  <c r="H35" i="6"/>
  <c r="H36" i="6"/>
  <c r="H37" i="6"/>
  <c r="E38" i="6"/>
  <c r="F38" i="6"/>
  <c r="H38" i="6"/>
  <c r="E39" i="6"/>
  <c r="F39" i="6"/>
  <c r="H39" i="6"/>
  <c r="H40" i="6"/>
  <c r="E41" i="6"/>
  <c r="F41" i="6"/>
  <c r="H41" i="6"/>
  <c r="H42" i="6"/>
  <c r="E43" i="6"/>
  <c r="F43" i="6"/>
  <c r="H43" i="6"/>
  <c r="E44" i="6"/>
  <c r="F44" i="6"/>
  <c r="H44" i="6"/>
  <c r="E45" i="6"/>
  <c r="F45" i="6"/>
  <c r="H45" i="6"/>
  <c r="H46" i="6"/>
  <c r="E47" i="6"/>
  <c r="F47" i="6"/>
  <c r="H47" i="6"/>
  <c r="E48" i="6"/>
  <c r="F48" i="6"/>
  <c r="G48" i="6"/>
  <c r="H48" i="6"/>
  <c r="E49" i="6"/>
  <c r="F49" i="6"/>
  <c r="H49" i="6"/>
  <c r="E50" i="6"/>
  <c r="F50" i="6"/>
  <c r="H50" i="6"/>
  <c r="E51" i="6"/>
  <c r="F51" i="6"/>
  <c r="H51" i="6"/>
  <c r="E52" i="6"/>
  <c r="F52" i="6"/>
  <c r="H52" i="6"/>
  <c r="E53" i="6"/>
  <c r="F53" i="6"/>
  <c r="H53" i="6"/>
  <c r="E54" i="6"/>
  <c r="F54" i="6"/>
  <c r="H54" i="6"/>
  <c r="E55" i="6"/>
  <c r="F55" i="6"/>
  <c r="H55" i="6"/>
  <c r="H56" i="6"/>
  <c r="H57" i="6"/>
  <c r="H58" i="6"/>
  <c r="H59" i="6"/>
  <c r="H60" i="6"/>
  <c r="H61" i="6"/>
  <c r="E62" i="6"/>
  <c r="H62" i="6"/>
  <c r="E63" i="6"/>
  <c r="F63" i="6"/>
  <c r="H63" i="6"/>
  <c r="E64" i="6"/>
  <c r="F64" i="6"/>
  <c r="H64" i="6"/>
  <c r="E65" i="6"/>
  <c r="F65" i="6"/>
  <c r="H65" i="6"/>
  <c r="E66" i="6"/>
  <c r="F66" i="6"/>
  <c r="H66" i="6"/>
  <c r="H67" i="6"/>
  <c r="E71" i="6"/>
  <c r="F71" i="6"/>
  <c r="E80" i="6"/>
  <c r="H16" i="5"/>
  <c r="H17" i="5"/>
  <c r="H18" i="5"/>
  <c r="H19" i="5"/>
  <c r="D19" i="5" s="1"/>
  <c r="H20" i="5"/>
  <c r="H21" i="5"/>
  <c r="H22" i="5"/>
  <c r="H23" i="5"/>
  <c r="H24" i="5"/>
  <c r="H25" i="5"/>
  <c r="H26" i="5"/>
  <c r="E34" i="5"/>
  <c r="F34" i="5"/>
  <c r="H34" i="5"/>
  <c r="E35" i="5"/>
  <c r="F35" i="5"/>
  <c r="H35" i="5"/>
  <c r="H36" i="5"/>
  <c r="H37" i="5"/>
  <c r="E38" i="5"/>
  <c r="F38" i="5"/>
  <c r="H38" i="5"/>
  <c r="E39" i="5"/>
  <c r="F39" i="5"/>
  <c r="H39" i="5"/>
  <c r="H40" i="5"/>
  <c r="H41" i="5"/>
  <c r="H42" i="5"/>
  <c r="H43" i="5"/>
  <c r="H44" i="5"/>
  <c r="E45" i="5"/>
  <c r="F45" i="5"/>
  <c r="H45" i="5"/>
  <c r="H46" i="5"/>
  <c r="E47" i="5"/>
  <c r="F47" i="5"/>
  <c r="H47" i="5"/>
  <c r="H48" i="5"/>
  <c r="E49" i="5"/>
  <c r="F49" i="5"/>
  <c r="H49" i="5"/>
  <c r="E50" i="5"/>
  <c r="F50" i="5"/>
  <c r="H50" i="5"/>
  <c r="E51" i="5"/>
  <c r="F51" i="5"/>
  <c r="H51" i="5"/>
  <c r="E52" i="5"/>
  <c r="F52" i="5"/>
  <c r="H52" i="5"/>
  <c r="E53" i="5"/>
  <c r="F53" i="5"/>
  <c r="H53" i="5"/>
  <c r="E54" i="5"/>
  <c r="F54" i="5"/>
  <c r="H54" i="5"/>
  <c r="H55" i="5"/>
  <c r="H56" i="5"/>
  <c r="H57" i="5"/>
  <c r="H58" i="5"/>
  <c r="H59" i="5"/>
  <c r="H60" i="5"/>
  <c r="H61" i="5"/>
  <c r="H62" i="5"/>
  <c r="E63" i="5"/>
  <c r="F63" i="5"/>
  <c r="H63" i="5"/>
  <c r="H64" i="5"/>
  <c r="E65" i="5"/>
  <c r="F65" i="5"/>
  <c r="H65" i="5"/>
  <c r="H66" i="5"/>
  <c r="H67" i="5"/>
  <c r="E69" i="5"/>
  <c r="E70" i="5"/>
  <c r="F70" i="5"/>
  <c r="G70" i="5"/>
  <c r="E71" i="5"/>
  <c r="F71" i="5"/>
  <c r="H16" i="4"/>
  <c r="H17" i="4"/>
  <c r="H18" i="4"/>
  <c r="H19" i="4"/>
  <c r="H20" i="4"/>
  <c r="AH20" i="4" s="1"/>
  <c r="H21" i="4"/>
  <c r="H22" i="4"/>
  <c r="H23" i="4"/>
  <c r="H24" i="4"/>
  <c r="H25" i="4"/>
  <c r="H26" i="4"/>
  <c r="E34" i="4"/>
  <c r="F34" i="4"/>
  <c r="H34" i="4"/>
  <c r="E35" i="4"/>
  <c r="F35" i="4"/>
  <c r="H35" i="4"/>
  <c r="H36" i="4"/>
  <c r="H37" i="4"/>
  <c r="E38" i="4"/>
  <c r="F38" i="4"/>
  <c r="H38" i="4"/>
  <c r="E39" i="4"/>
  <c r="F39" i="4"/>
  <c r="H39" i="4"/>
  <c r="H40" i="4"/>
  <c r="E41" i="4"/>
  <c r="F41" i="4"/>
  <c r="H41" i="4"/>
  <c r="H42" i="4"/>
  <c r="E43" i="4"/>
  <c r="F43" i="4"/>
  <c r="H43" i="4"/>
  <c r="H44" i="4"/>
  <c r="E45" i="4"/>
  <c r="F45" i="4"/>
  <c r="H45" i="4"/>
  <c r="H46" i="4"/>
  <c r="E47" i="4"/>
  <c r="F47" i="4"/>
  <c r="H47" i="4"/>
  <c r="E48" i="4"/>
  <c r="F48" i="4"/>
  <c r="G48" i="4"/>
  <c r="H48" i="4"/>
  <c r="E49" i="4"/>
  <c r="F49" i="4"/>
  <c r="H49" i="4"/>
  <c r="E50" i="4"/>
  <c r="F50" i="4"/>
  <c r="H50" i="4"/>
  <c r="E51" i="4"/>
  <c r="F51" i="4"/>
  <c r="H51" i="4"/>
  <c r="E52" i="4"/>
  <c r="F52" i="4"/>
  <c r="H52" i="4"/>
  <c r="E53" i="4"/>
  <c r="F53" i="4"/>
  <c r="H53" i="4"/>
  <c r="E54" i="4"/>
  <c r="F54" i="4"/>
  <c r="H54" i="4"/>
  <c r="H55" i="4"/>
  <c r="H56" i="4"/>
  <c r="E57" i="4"/>
  <c r="F57" i="4"/>
  <c r="H57" i="4"/>
  <c r="E58" i="4"/>
  <c r="F58" i="4"/>
  <c r="H58" i="4"/>
  <c r="H59" i="4"/>
  <c r="H60" i="4"/>
  <c r="H61" i="4"/>
  <c r="H62" i="4"/>
  <c r="E63" i="4"/>
  <c r="F63" i="4"/>
  <c r="H63" i="4"/>
  <c r="H64" i="4"/>
  <c r="E65" i="4"/>
  <c r="F65" i="4"/>
  <c r="H65" i="4"/>
  <c r="H66" i="4"/>
  <c r="H67" i="4"/>
  <c r="E68" i="4"/>
  <c r="F68" i="4"/>
  <c r="E70" i="4"/>
  <c r="F70" i="4"/>
  <c r="G70" i="4"/>
  <c r="E71" i="4"/>
  <c r="F71" i="4"/>
  <c r="E72" i="4"/>
  <c r="F72" i="4"/>
  <c r="G72" i="4"/>
  <c r="E73" i="4"/>
  <c r="F73" i="4"/>
  <c r="G73" i="4"/>
  <c r="E74" i="4"/>
  <c r="F74" i="4"/>
  <c r="G74" i="4"/>
  <c r="H16" i="3"/>
  <c r="H17" i="3"/>
  <c r="H18" i="3"/>
  <c r="H19" i="3"/>
  <c r="H20" i="3"/>
  <c r="H21" i="3"/>
  <c r="H22" i="3"/>
  <c r="H23" i="3"/>
  <c r="H24" i="3"/>
  <c r="H25" i="3"/>
  <c r="H26" i="3"/>
  <c r="H31" i="3"/>
  <c r="F72" i="3" s="1"/>
  <c r="E34" i="3"/>
  <c r="F34" i="3"/>
  <c r="H34" i="3"/>
  <c r="E35" i="3"/>
  <c r="F35" i="3"/>
  <c r="H35" i="3"/>
  <c r="H36" i="3"/>
  <c r="H37" i="3"/>
  <c r="E38" i="3"/>
  <c r="F38" i="3"/>
  <c r="H38" i="3"/>
  <c r="E39" i="3"/>
  <c r="F39" i="3"/>
  <c r="H39" i="3"/>
  <c r="H40" i="3"/>
  <c r="E41" i="3"/>
  <c r="F41" i="3"/>
  <c r="H41" i="3"/>
  <c r="H42" i="3"/>
  <c r="E43" i="3"/>
  <c r="F43" i="3"/>
  <c r="H43" i="3"/>
  <c r="H44" i="3"/>
  <c r="E45" i="3"/>
  <c r="F45" i="3"/>
  <c r="H45" i="3"/>
  <c r="H46" i="3"/>
  <c r="E47" i="3"/>
  <c r="F47" i="3"/>
  <c r="H47" i="3"/>
  <c r="H48" i="3"/>
  <c r="E49" i="3"/>
  <c r="F49" i="3"/>
  <c r="H49" i="3"/>
  <c r="E50" i="3"/>
  <c r="F50" i="3"/>
  <c r="H50" i="3"/>
  <c r="E51" i="3"/>
  <c r="F51" i="3"/>
  <c r="H51" i="3"/>
  <c r="E52" i="3"/>
  <c r="F52" i="3"/>
  <c r="H52" i="3"/>
  <c r="E53" i="3"/>
  <c r="F53" i="3"/>
  <c r="H53" i="3"/>
  <c r="E54" i="3"/>
  <c r="F54" i="3"/>
  <c r="H54" i="3"/>
  <c r="H55" i="3"/>
  <c r="H56" i="3"/>
  <c r="H57" i="3"/>
  <c r="H58" i="3"/>
  <c r="E59" i="3"/>
  <c r="F59" i="3"/>
  <c r="G59" i="3"/>
  <c r="H59" i="3"/>
  <c r="H60" i="3"/>
  <c r="H61" i="3"/>
  <c r="E62" i="3"/>
  <c r="H62" i="3"/>
  <c r="E63" i="3"/>
  <c r="F63" i="3"/>
  <c r="H63" i="3"/>
  <c r="H64" i="3"/>
  <c r="E65" i="3"/>
  <c r="F65" i="3"/>
  <c r="H65" i="3"/>
  <c r="E66" i="3"/>
  <c r="F66" i="3"/>
  <c r="H66" i="3"/>
  <c r="H67" i="3"/>
  <c r="D68" i="3" s="1"/>
  <c r="D83" i="3" s="1"/>
  <c r="E70" i="3"/>
  <c r="E80" i="3"/>
  <c r="H16" i="2"/>
  <c r="H17" i="2"/>
  <c r="H18" i="2"/>
  <c r="H19" i="2"/>
  <c r="H20" i="2"/>
  <c r="H21" i="2"/>
  <c r="H22" i="2"/>
  <c r="H23" i="2"/>
  <c r="H24" i="2"/>
  <c r="H25" i="2"/>
  <c r="H26" i="2"/>
  <c r="H31" i="2"/>
  <c r="G72" i="2" s="1"/>
  <c r="E34" i="2"/>
  <c r="F34" i="2"/>
  <c r="H34" i="2"/>
  <c r="E35" i="2"/>
  <c r="F35" i="2"/>
  <c r="H35" i="2"/>
  <c r="H36" i="2"/>
  <c r="H37" i="2"/>
  <c r="E38" i="2"/>
  <c r="F38" i="2"/>
  <c r="H38" i="2"/>
  <c r="E39" i="2"/>
  <c r="F39" i="2"/>
  <c r="H39" i="2"/>
  <c r="H40" i="2"/>
  <c r="E41" i="2"/>
  <c r="F41" i="2"/>
  <c r="H41" i="2"/>
  <c r="H42" i="2"/>
  <c r="E43" i="2"/>
  <c r="F43" i="2"/>
  <c r="H43" i="2"/>
  <c r="E44" i="2"/>
  <c r="F44" i="2"/>
  <c r="H44" i="2"/>
  <c r="E45" i="2"/>
  <c r="F45" i="2"/>
  <c r="H45" i="2"/>
  <c r="H46" i="2"/>
  <c r="E47" i="2"/>
  <c r="F47" i="2"/>
  <c r="H47" i="2"/>
  <c r="H48" i="2"/>
  <c r="E49" i="2"/>
  <c r="F49" i="2"/>
  <c r="H49" i="2"/>
  <c r="E50" i="2"/>
  <c r="F50" i="2"/>
  <c r="E51" i="2"/>
  <c r="F51" i="2"/>
  <c r="H51" i="2"/>
  <c r="E52" i="2"/>
  <c r="F52" i="2"/>
  <c r="H52" i="2"/>
  <c r="E53" i="2"/>
  <c r="F53" i="2"/>
  <c r="H53" i="2"/>
  <c r="E54" i="2"/>
  <c r="F54" i="2"/>
  <c r="H54" i="2"/>
  <c r="H55" i="2"/>
  <c r="H56" i="2"/>
  <c r="E57" i="2"/>
  <c r="F57" i="2"/>
  <c r="H57" i="2"/>
  <c r="E58" i="2"/>
  <c r="F58" i="2"/>
  <c r="H58" i="2"/>
  <c r="H59" i="2"/>
  <c r="E60" i="2"/>
  <c r="F60" i="2"/>
  <c r="G60" i="2"/>
  <c r="H60" i="2"/>
  <c r="H61" i="2"/>
  <c r="H62" i="2"/>
  <c r="E63" i="2"/>
  <c r="F63" i="2"/>
  <c r="H63" i="2"/>
  <c r="E64" i="2"/>
  <c r="F64" i="2"/>
  <c r="H64" i="2"/>
  <c r="E65" i="2"/>
  <c r="F65" i="2"/>
  <c r="H65" i="2"/>
  <c r="E66" i="2"/>
  <c r="F66" i="2"/>
  <c r="H66" i="2"/>
  <c r="H67" i="2"/>
  <c r="D68" i="2" s="1"/>
  <c r="D83" i="2" s="1"/>
  <c r="E70" i="2"/>
  <c r="E71" i="2"/>
  <c r="F71" i="2"/>
  <c r="D16" i="1"/>
  <c r="D17" i="1"/>
  <c r="D21" i="1"/>
  <c r="D24" i="1"/>
  <c r="D83" i="1"/>
  <c r="D16" i="17"/>
  <c r="D19" i="17"/>
  <c r="D21" i="17"/>
  <c r="D24" i="17"/>
  <c r="D25" i="17"/>
  <c r="D26" i="17"/>
  <c r="D41" i="17"/>
  <c r="F41" i="17" s="1"/>
  <c r="D16" i="16"/>
  <c r="D17" i="16"/>
  <c r="D21" i="16"/>
  <c r="D83" i="16"/>
  <c r="D16" i="15"/>
  <c r="D17" i="15"/>
  <c r="D18" i="15"/>
  <c r="D19" i="15"/>
  <c r="D20" i="15"/>
  <c r="D21" i="15"/>
  <c r="D24" i="15"/>
  <c r="D25" i="15"/>
  <c r="D26" i="15"/>
  <c r="D16" i="13"/>
  <c r="D17" i="13"/>
  <c r="D19" i="13"/>
  <c r="D20" i="13"/>
  <c r="D21" i="13"/>
  <c r="D24" i="13"/>
  <c r="D25" i="13"/>
  <c r="D26" i="13"/>
  <c r="D16" i="12"/>
  <c r="D17" i="12"/>
  <c r="D19" i="12"/>
  <c r="D20" i="12"/>
  <c r="D21" i="12"/>
  <c r="D24" i="12"/>
  <c r="D25" i="12"/>
  <c r="D83" i="12"/>
  <c r="D16" i="11"/>
  <c r="D17" i="11"/>
  <c r="D19" i="11"/>
  <c r="D20" i="11"/>
  <c r="D21" i="11"/>
  <c r="D24" i="11"/>
  <c r="D25" i="11"/>
  <c r="D83" i="11"/>
  <c r="D16" i="10"/>
  <c r="D17" i="10"/>
  <c r="D19" i="10"/>
  <c r="D21" i="10"/>
  <c r="D24" i="10"/>
  <c r="D83" i="10"/>
  <c r="D16" i="9"/>
  <c r="D17" i="9"/>
  <c r="D19" i="9"/>
  <c r="D21" i="9"/>
  <c r="D24" i="9"/>
  <c r="D16" i="7"/>
  <c r="D17" i="7"/>
  <c r="D18" i="7"/>
  <c r="D19" i="7"/>
  <c r="D21" i="7"/>
  <c r="D24" i="7"/>
  <c r="D25" i="7"/>
  <c r="D83" i="7"/>
  <c r="D30" i="14"/>
  <c r="D83" i="14"/>
  <c r="D16" i="6"/>
  <c r="D17" i="6"/>
  <c r="D19" i="6"/>
  <c r="D21" i="6"/>
  <c r="D24" i="6"/>
  <c r="D83" i="6"/>
  <c r="D16" i="5"/>
  <c r="D18" i="5"/>
  <c r="D24" i="5"/>
  <c r="D63" i="5"/>
  <c r="D16" i="4"/>
  <c r="D17" i="4"/>
  <c r="D20" i="4"/>
  <c r="D21" i="4"/>
  <c r="D24" i="4"/>
  <c r="D25" i="4"/>
  <c r="D16" i="3"/>
  <c r="D17" i="3"/>
  <c r="D19" i="3"/>
  <c r="D20" i="3"/>
  <c r="D21" i="3"/>
  <c r="D24" i="3"/>
  <c r="D25" i="3"/>
  <c r="D26" i="3"/>
  <c r="D16" i="2"/>
  <c r="D17" i="2"/>
  <c r="D18" i="2"/>
  <c r="D20" i="2"/>
  <c r="D21" i="2"/>
  <c r="D24" i="2"/>
  <c r="D25" i="2"/>
  <c r="D26" i="2"/>
  <c r="G73" i="2" l="1"/>
  <c r="G63" i="5"/>
  <c r="F72" i="2"/>
  <c r="G73" i="15"/>
  <c r="G74" i="17"/>
  <c r="E73" i="17"/>
  <c r="F74" i="15"/>
  <c r="G73" i="17"/>
  <c r="E72" i="3"/>
  <c r="G74" i="13"/>
  <c r="F74" i="12"/>
  <c r="F73" i="13"/>
  <c r="E73" i="12"/>
  <c r="H30" i="15"/>
  <c r="H85" i="15" s="1"/>
  <c r="H30" i="3"/>
  <c r="H85" i="3" s="1"/>
  <c r="H30" i="11"/>
  <c r="H85" i="11" s="1"/>
  <c r="H30" i="17"/>
  <c r="H85" i="17" s="1"/>
  <c r="H30" i="6"/>
  <c r="H85" i="6" s="1"/>
  <c r="H30" i="2"/>
  <c r="H85" i="2" s="1"/>
  <c r="H30" i="7"/>
  <c r="H85" i="7" s="1"/>
  <c r="H30" i="9"/>
  <c r="H85" i="9" s="1"/>
  <c r="H30" i="10"/>
  <c r="H85" i="10" s="1"/>
  <c r="H30" i="4"/>
  <c r="H85" i="4" s="1"/>
  <c r="H30" i="5"/>
  <c r="H85" i="5" s="1"/>
  <c r="H30" i="12"/>
  <c r="H85" i="12" s="1"/>
  <c r="H30" i="13"/>
  <c r="H85" i="13" s="1"/>
  <c r="H30" i="16"/>
  <c r="H85" i="16" s="1"/>
  <c r="H30" i="1"/>
  <c r="H85" i="1" s="1"/>
  <c r="G74" i="2"/>
  <c r="F73" i="2"/>
  <c r="E72" i="2"/>
  <c r="E74" i="12"/>
  <c r="G72" i="12"/>
  <c r="F74" i="13"/>
  <c r="E73" i="13"/>
  <c r="F74" i="2"/>
  <c r="E73" i="2"/>
  <c r="G73" i="12"/>
  <c r="F72" i="12"/>
  <c r="E74" i="13"/>
  <c r="E74" i="2"/>
  <c r="G74" i="12"/>
  <c r="F73" i="12"/>
  <c r="G74" i="3"/>
  <c r="F73" i="3"/>
  <c r="F74" i="3"/>
  <c r="E73" i="3"/>
  <c r="D30" i="4"/>
  <c r="D85" i="4" s="1"/>
  <c r="D30" i="10"/>
  <c r="D85" i="10" s="1"/>
  <c r="E74" i="3"/>
  <c r="G72" i="3"/>
  <c r="G73" i="3"/>
  <c r="D30" i="2"/>
  <c r="D83" i="5"/>
  <c r="D30" i="17"/>
  <c r="D30" i="1"/>
  <c r="D85" i="1" s="1"/>
  <c r="D30" i="3"/>
  <c r="D85" i="3" s="1"/>
  <c r="D30" i="7"/>
  <c r="D85" i="7" s="1"/>
  <c r="D30" i="12"/>
  <c r="D85" i="12" s="1"/>
  <c r="D30" i="6"/>
  <c r="D85" i="6" s="1"/>
  <c r="D30" i="9"/>
  <c r="D85" i="9" s="1"/>
  <c r="D30" i="13"/>
  <c r="D85" i="13" s="1"/>
  <c r="D30" i="15"/>
  <c r="D85" i="15" s="1"/>
  <c r="D30" i="16"/>
  <c r="D85" i="16" s="1"/>
  <c r="D85" i="2"/>
  <c r="D30" i="5"/>
  <c r="D85" i="14"/>
  <c r="D30" i="11"/>
  <c r="D85" i="11" s="1"/>
  <c r="D83" i="17"/>
  <c r="E41" i="17"/>
  <c r="D85" i="17" l="1"/>
  <c r="D85" i="5"/>
  <c r="G70" i="19"/>
  <c r="F70" i="19"/>
  <c r="E70" i="19"/>
  <c r="F71" i="19"/>
  <c r="E71" i="19"/>
  <c r="G70" i="18"/>
  <c r="F70" i="18"/>
  <c r="E70" i="18"/>
  <c r="D70" i="22" l="1"/>
  <c r="D71" i="22"/>
  <c r="D72" i="22"/>
  <c r="D73" i="22"/>
  <c r="D74" i="22"/>
  <c r="D75" i="22"/>
  <c r="D76" i="22"/>
  <c r="AX84" i="22" l="1"/>
  <c r="AX82" i="22"/>
  <c r="AX76" i="22"/>
  <c r="AX75" i="22"/>
  <c r="AX74" i="22"/>
  <c r="AX73" i="22"/>
  <c r="AX72" i="22"/>
  <c r="AX71" i="22"/>
  <c r="AX70" i="22"/>
  <c r="H31" i="18"/>
  <c r="G73" i="18" s="1"/>
  <c r="G74" i="18" l="1"/>
  <c r="F72" i="18"/>
  <c r="E73" i="18"/>
  <c r="G72" i="18"/>
  <c r="E74" i="18"/>
  <c r="F73" i="18"/>
  <c r="F74" i="18"/>
  <c r="E72" i="18"/>
  <c r="M33" i="22" l="1"/>
  <c r="N32" i="22" l="1"/>
  <c r="L32" i="22"/>
  <c r="X21" i="4"/>
  <c r="X30" i="4" s="1"/>
  <c r="AG30" i="4" s="1"/>
  <c r="X21" i="3"/>
  <c r="X30" i="3" s="1"/>
  <c r="AG30" i="3" s="1"/>
  <c r="X21" i="2"/>
  <c r="X30" i="2" l="1"/>
  <c r="AG30" i="2" s="1"/>
  <c r="X22" i="22"/>
  <c r="F63" i="19"/>
  <c r="E63" i="19"/>
  <c r="H22" i="19" l="1"/>
  <c r="H23" i="19"/>
  <c r="H23" i="22"/>
  <c r="H24" i="22"/>
  <c r="AG22" i="2"/>
  <c r="AG23" i="2"/>
  <c r="AG22" i="3"/>
  <c r="AG23" i="3"/>
  <c r="AH23" i="3" s="1"/>
  <c r="AG22" i="4"/>
  <c r="AG23" i="4"/>
  <c r="AG22" i="5"/>
  <c r="AG23" i="5"/>
  <c r="AH23" i="5" s="1"/>
  <c r="AG22" i="6"/>
  <c r="AG23" i="6"/>
  <c r="AG22" i="14"/>
  <c r="AH22" i="14" s="1"/>
  <c r="AG23" i="14"/>
  <c r="AH23" i="14" s="1"/>
  <c r="AG22" i="7"/>
  <c r="AG23" i="7"/>
  <c r="AH23" i="7" s="1"/>
  <c r="AG22" i="9"/>
  <c r="AG23" i="9"/>
  <c r="AG22" i="10"/>
  <c r="AG23" i="10"/>
  <c r="AH23" i="10" s="1"/>
  <c r="AG22" i="11"/>
  <c r="AG23" i="11"/>
  <c r="AG22" i="12"/>
  <c r="AG23" i="12"/>
  <c r="AH23" i="12" s="1"/>
  <c r="AG22" i="13"/>
  <c r="AG23" i="13"/>
  <c r="AG22" i="15"/>
  <c r="AG23" i="15"/>
  <c r="AH23" i="15" s="1"/>
  <c r="AG22" i="16"/>
  <c r="AG23" i="16"/>
  <c r="AG22" i="17"/>
  <c r="AG23" i="17"/>
  <c r="AH23" i="17" s="1"/>
  <c r="AG22" i="18"/>
  <c r="AG23" i="18"/>
  <c r="AG22" i="19"/>
  <c r="AG23" i="19"/>
  <c r="AG23" i="22"/>
  <c r="AG24" i="22"/>
  <c r="AG22" i="1"/>
  <c r="AG23" i="1"/>
  <c r="H36" i="18"/>
  <c r="H37" i="18"/>
  <c r="H38" i="18"/>
  <c r="G38" i="18" s="1"/>
  <c r="H39" i="18"/>
  <c r="G39" i="18" s="1"/>
  <c r="H40" i="18"/>
  <c r="G40" i="18" s="1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D59" i="18" s="1"/>
  <c r="H59" i="18"/>
  <c r="H60" i="18"/>
  <c r="H61" i="18"/>
  <c r="H62" i="18"/>
  <c r="H63" i="18"/>
  <c r="H64" i="18"/>
  <c r="H65" i="18"/>
  <c r="H66" i="18"/>
  <c r="H67" i="18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G51" i="19" s="1"/>
  <c r="H52" i="19"/>
  <c r="G52" i="19" s="1"/>
  <c r="H53" i="19"/>
  <c r="G53" i="19" s="1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AH24" i="22" l="1"/>
  <c r="AH23" i="22"/>
  <c r="AH23" i="19"/>
  <c r="AH22" i="15"/>
  <c r="AH22" i="12"/>
  <c r="AH22" i="10"/>
  <c r="AH22" i="19"/>
  <c r="AH23" i="18"/>
  <c r="AH23" i="9"/>
  <c r="AH23" i="6"/>
  <c r="AH22" i="1"/>
  <c r="AH23" i="4"/>
  <c r="AH22" i="18"/>
  <c r="AH22" i="16"/>
  <c r="AH22" i="11"/>
  <c r="AH22" i="9"/>
  <c r="AH22" i="4"/>
  <c r="AH22" i="2"/>
  <c r="AH23" i="16"/>
  <c r="AH23" i="11"/>
  <c r="AH23" i="2"/>
  <c r="AH22" i="5"/>
  <c r="AH23" i="13"/>
  <c r="AH22" i="6"/>
  <c r="AH23" i="1"/>
  <c r="AH22" i="13"/>
  <c r="AH22" i="17"/>
  <c r="AH22" i="7"/>
  <c r="AH22" i="3"/>
  <c r="AE32" i="22" l="1"/>
  <c r="AE87" i="22" s="1"/>
  <c r="AD32" i="22"/>
  <c r="AD87" i="22" s="1"/>
  <c r="Z32" i="22"/>
  <c r="Z87" i="22" s="1"/>
  <c r="V32" i="22"/>
  <c r="AA32" i="22"/>
  <c r="AA87" i="22" s="1"/>
  <c r="W32" i="22"/>
  <c r="W87" i="22" s="1"/>
  <c r="AC32" i="22"/>
  <c r="AC87" i="22" s="1"/>
  <c r="AF32" i="22"/>
  <c r="AF87" i="22" s="1"/>
  <c r="AB32" i="22"/>
  <c r="AB87" i="22" s="1"/>
  <c r="X32" i="22"/>
  <c r="Y32" i="22"/>
  <c r="U32" i="22"/>
  <c r="AX51" i="22"/>
  <c r="AX50" i="22"/>
  <c r="AX49" i="22"/>
  <c r="AX69" i="22"/>
  <c r="AX68" i="22"/>
  <c r="AX67" i="22"/>
  <c r="AX66" i="22"/>
  <c r="AX65" i="22"/>
  <c r="AX64" i="22"/>
  <c r="AX63" i="22"/>
  <c r="AX62" i="22"/>
  <c r="AX61" i="22"/>
  <c r="AX60" i="22"/>
  <c r="AX59" i="22"/>
  <c r="AX58" i="22"/>
  <c r="AX57" i="22"/>
  <c r="AX56" i="22"/>
  <c r="AX55" i="22"/>
  <c r="AX54" i="22"/>
  <c r="AX53" i="22"/>
  <c r="AX52" i="22"/>
  <c r="AG16" i="22"/>
  <c r="D37" i="22"/>
  <c r="D38" i="22"/>
  <c r="D39" i="22"/>
  <c r="D40" i="22"/>
  <c r="D41" i="22"/>
  <c r="D42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3" i="22"/>
  <c r="D64" i="22"/>
  <c r="D65" i="22"/>
  <c r="D66" i="22"/>
  <c r="D67" i="22"/>
  <c r="D68" i="22"/>
  <c r="D69" i="22"/>
  <c r="D82" i="22"/>
  <c r="D84" i="22"/>
  <c r="D36" i="22"/>
  <c r="K32" i="22"/>
  <c r="I32" i="22" l="1"/>
  <c r="J32" i="22"/>
  <c r="AG32" i="22"/>
  <c r="E46" i="22"/>
  <c r="F46" i="22"/>
  <c r="F69" i="22"/>
  <c r="E69" i="22"/>
  <c r="F67" i="22"/>
  <c r="E67" i="22"/>
  <c r="F60" i="22"/>
  <c r="E60" i="22"/>
  <c r="F55" i="22"/>
  <c r="E55" i="22"/>
  <c r="F54" i="22"/>
  <c r="E54" i="22"/>
  <c r="F53" i="22"/>
  <c r="E53" i="22"/>
  <c r="F52" i="22"/>
  <c r="E52" i="22"/>
  <c r="F51" i="22"/>
  <c r="E51" i="22"/>
  <c r="G50" i="22"/>
  <c r="F50" i="22"/>
  <c r="E50" i="22"/>
  <c r="F49" i="22"/>
  <c r="E49" i="22"/>
  <c r="AX47" i="22"/>
  <c r="F47" i="22"/>
  <c r="E47" i="22"/>
  <c r="AX46" i="22"/>
  <c r="AX45" i="22"/>
  <c r="AX44" i="22"/>
  <c r="AX43" i="22"/>
  <c r="AX42" i="22"/>
  <c r="AX41" i="22"/>
  <c r="F41" i="22"/>
  <c r="E41" i="22"/>
  <c r="AX40" i="22"/>
  <c r="F40" i="22"/>
  <c r="E40" i="22"/>
  <c r="AX39" i="22"/>
  <c r="AX38" i="22"/>
  <c r="AX37" i="22"/>
  <c r="F37" i="22"/>
  <c r="E37" i="22"/>
  <c r="AX36" i="22"/>
  <c r="F36" i="22"/>
  <c r="E36" i="22"/>
  <c r="AG27" i="22"/>
  <c r="H27" i="22"/>
  <c r="AG26" i="22"/>
  <c r="H26" i="22"/>
  <c r="AG25" i="22"/>
  <c r="H25" i="22"/>
  <c r="AG22" i="22"/>
  <c r="H22" i="22"/>
  <c r="AG21" i="22"/>
  <c r="H21" i="22"/>
  <c r="AG19" i="22"/>
  <c r="H19" i="22"/>
  <c r="AG18" i="22"/>
  <c r="H18" i="22"/>
  <c r="AG17" i="22"/>
  <c r="H17" i="22"/>
  <c r="H16" i="22"/>
  <c r="H31" i="22" l="1"/>
  <c r="H20" i="22"/>
  <c r="AH16" i="22"/>
  <c r="AH18" i="22"/>
  <c r="AH21" i="22"/>
  <c r="AH25" i="22"/>
  <c r="AH17" i="22"/>
  <c r="AH19" i="22"/>
  <c r="AH22" i="22"/>
  <c r="AH26" i="22"/>
  <c r="AH27" i="22"/>
  <c r="H32" i="22" l="1"/>
  <c r="AH32" i="22" s="1"/>
  <c r="AG35" i="19"/>
  <c r="AX35" i="19" s="1"/>
  <c r="AG35" i="18"/>
  <c r="AX35" i="18" s="1"/>
  <c r="AG35" i="17"/>
  <c r="AX35" i="17" s="1"/>
  <c r="AG35" i="16"/>
  <c r="AX35" i="16" s="1"/>
  <c r="AG39" i="15"/>
  <c r="AX39" i="15" s="1"/>
  <c r="AG40" i="15"/>
  <c r="AG41" i="15"/>
  <c r="AX41" i="15" s="1"/>
  <c r="AG42" i="15"/>
  <c r="AX42" i="15" s="1"/>
  <c r="AG43" i="15"/>
  <c r="AX43" i="15" s="1"/>
  <c r="AG44" i="15"/>
  <c r="AX44" i="15" s="1"/>
  <c r="AG45" i="15"/>
  <c r="AX45" i="15" s="1"/>
  <c r="AG47" i="15"/>
  <c r="AX47" i="15" s="1"/>
  <c r="AG48" i="15"/>
  <c r="AX48" i="15" s="1"/>
  <c r="AG49" i="15"/>
  <c r="AX49" i="15" s="1"/>
  <c r="AG50" i="15"/>
  <c r="AX50" i="15" s="1"/>
  <c r="AG51" i="15"/>
  <c r="AX51" i="15" s="1"/>
  <c r="AG52" i="15"/>
  <c r="AX52" i="15" s="1"/>
  <c r="AG53" i="15"/>
  <c r="AX53" i="15" s="1"/>
  <c r="AG54" i="15"/>
  <c r="AX54" i="15" s="1"/>
  <c r="AG55" i="15"/>
  <c r="AX55" i="15" s="1"/>
  <c r="AG56" i="15"/>
  <c r="AX56" i="15" s="1"/>
  <c r="AG57" i="15"/>
  <c r="AX57" i="15" s="1"/>
  <c r="AG58" i="15"/>
  <c r="AX58" i="15" s="1"/>
  <c r="AG59" i="15"/>
  <c r="AX59" i="15" s="1"/>
  <c r="AG60" i="15"/>
  <c r="AX60" i="15" s="1"/>
  <c r="AG61" i="15"/>
  <c r="AG62" i="15"/>
  <c r="AG63" i="15"/>
  <c r="AX63" i="15" s="1"/>
  <c r="AG64" i="15"/>
  <c r="AX64" i="15" s="1"/>
  <c r="AG65" i="15"/>
  <c r="AX65" i="15" s="1"/>
  <c r="AG66" i="15"/>
  <c r="AX66" i="15" s="1"/>
  <c r="AG67" i="15"/>
  <c r="AX67" i="15" s="1"/>
  <c r="AG35" i="15"/>
  <c r="AX35" i="15" s="1"/>
  <c r="AG35" i="13"/>
  <c r="AX35" i="13" s="1"/>
  <c r="AG35" i="12"/>
  <c r="AX35" i="12" s="1"/>
  <c r="AG35" i="11"/>
  <c r="AX35" i="11" s="1"/>
  <c r="AG35" i="10"/>
  <c r="AX35" i="10" s="1"/>
  <c r="AG35" i="9"/>
  <c r="AX35" i="9" s="1"/>
  <c r="AG35" i="7"/>
  <c r="AX35" i="7" s="1"/>
  <c r="AG39" i="6"/>
  <c r="AX39" i="6" s="1"/>
  <c r="AG40" i="6"/>
  <c r="AG41" i="6"/>
  <c r="AX41" i="6" s="1"/>
  <c r="AG42" i="6"/>
  <c r="AX42" i="6" s="1"/>
  <c r="AG43" i="6"/>
  <c r="AX43" i="6" s="1"/>
  <c r="AG44" i="6"/>
  <c r="AX44" i="6" s="1"/>
  <c r="AG45" i="6"/>
  <c r="AX45" i="6" s="1"/>
  <c r="AG47" i="6"/>
  <c r="AX47" i="6" s="1"/>
  <c r="AG48" i="6"/>
  <c r="AX48" i="6" s="1"/>
  <c r="AG49" i="6"/>
  <c r="AX49" i="6" s="1"/>
  <c r="AG50" i="6"/>
  <c r="AX50" i="6" s="1"/>
  <c r="AG51" i="6"/>
  <c r="AX51" i="6" s="1"/>
  <c r="AG52" i="6"/>
  <c r="AX52" i="6" s="1"/>
  <c r="AG53" i="6"/>
  <c r="AX53" i="6" s="1"/>
  <c r="AG54" i="6"/>
  <c r="AX54" i="6" s="1"/>
  <c r="AG55" i="6"/>
  <c r="AX55" i="6" s="1"/>
  <c r="AG56" i="6"/>
  <c r="AX56" i="6" s="1"/>
  <c r="AG57" i="6"/>
  <c r="AX57" i="6" s="1"/>
  <c r="AG58" i="6"/>
  <c r="AX58" i="6" s="1"/>
  <c r="AG59" i="6"/>
  <c r="AX59" i="6" s="1"/>
  <c r="AG60" i="6"/>
  <c r="AX60" i="6" s="1"/>
  <c r="AG61" i="6"/>
  <c r="AX61" i="6" s="1"/>
  <c r="AG62" i="6"/>
  <c r="AX62" i="6" s="1"/>
  <c r="AG63" i="6"/>
  <c r="AX63" i="6" s="1"/>
  <c r="AG64" i="6"/>
  <c r="AX64" i="6" s="1"/>
  <c r="AG65" i="6"/>
  <c r="AX65" i="6" s="1"/>
  <c r="AG66" i="6"/>
  <c r="AX66" i="6" s="1"/>
  <c r="AG67" i="6"/>
  <c r="AX67" i="6" s="1"/>
  <c r="AG35" i="6"/>
  <c r="AX35" i="6" s="1"/>
  <c r="AG34" i="6"/>
  <c r="AX34" i="6" s="1"/>
  <c r="AG48" i="5"/>
  <c r="AX48" i="5" s="1"/>
  <c r="AG49" i="5"/>
  <c r="AX49" i="5" s="1"/>
  <c r="AG50" i="5"/>
  <c r="AX50" i="5" s="1"/>
  <c r="AG51" i="5"/>
  <c r="AX51" i="5" s="1"/>
  <c r="AG52" i="5"/>
  <c r="AX52" i="5" s="1"/>
  <c r="AG53" i="5"/>
  <c r="AX53" i="5" s="1"/>
  <c r="AG54" i="5"/>
  <c r="AX54" i="5" s="1"/>
  <c r="AG55" i="5"/>
  <c r="AX55" i="5" s="1"/>
  <c r="AG56" i="5"/>
  <c r="AX56" i="5" s="1"/>
  <c r="AG57" i="5"/>
  <c r="AX57" i="5" s="1"/>
  <c r="AG58" i="5"/>
  <c r="AX58" i="5" s="1"/>
  <c r="AG59" i="5"/>
  <c r="AX59" i="5" s="1"/>
  <c r="AG60" i="5"/>
  <c r="AX60" i="5" s="1"/>
  <c r="AG61" i="5"/>
  <c r="AG62" i="5"/>
  <c r="AG63" i="5"/>
  <c r="AX63" i="5" s="1"/>
  <c r="AG64" i="5"/>
  <c r="AX64" i="5" s="1"/>
  <c r="AG65" i="5"/>
  <c r="AX65" i="5" s="1"/>
  <c r="AG66" i="5"/>
  <c r="AX66" i="5" s="1"/>
  <c r="AG67" i="5"/>
  <c r="AX67" i="5" s="1"/>
  <c r="AG39" i="5"/>
  <c r="AX39" i="5" s="1"/>
  <c r="AG40" i="5"/>
  <c r="AG41" i="5"/>
  <c r="AX41" i="5" s="1"/>
  <c r="AG42" i="5"/>
  <c r="AX42" i="5" s="1"/>
  <c r="AG43" i="5"/>
  <c r="AX43" i="5" s="1"/>
  <c r="AG44" i="5"/>
  <c r="AX44" i="5" s="1"/>
  <c r="AG45" i="5"/>
  <c r="AX45" i="5" s="1"/>
  <c r="AG47" i="5"/>
  <c r="AX47" i="5" s="1"/>
  <c r="AG38" i="5"/>
  <c r="AX38" i="5" s="1"/>
  <c r="AG35" i="5"/>
  <c r="AX35" i="5" s="1"/>
  <c r="AG39" i="4"/>
  <c r="AX39" i="4" s="1"/>
  <c r="AG40" i="4"/>
  <c r="AX40" i="4" s="1"/>
  <c r="AG41" i="4"/>
  <c r="AX41" i="4" s="1"/>
  <c r="AG42" i="4"/>
  <c r="AG43" i="4"/>
  <c r="AX43" i="4" s="1"/>
  <c r="AG44" i="4"/>
  <c r="AX44" i="4" s="1"/>
  <c r="AG45" i="4"/>
  <c r="AX45" i="4" s="1"/>
  <c r="AG47" i="4"/>
  <c r="AX47" i="4" s="1"/>
  <c r="AG48" i="4"/>
  <c r="AX48" i="4" s="1"/>
  <c r="AG49" i="4"/>
  <c r="AX49" i="4" s="1"/>
  <c r="AG50" i="4"/>
  <c r="AG51" i="4"/>
  <c r="AG52" i="4"/>
  <c r="AG53" i="4"/>
  <c r="AG54" i="4"/>
  <c r="AX54" i="4" s="1"/>
  <c r="AG55" i="4"/>
  <c r="AX55" i="4" s="1"/>
  <c r="AG56" i="4"/>
  <c r="AG57" i="4"/>
  <c r="AX57" i="4" s="1"/>
  <c r="AG58" i="4"/>
  <c r="AX58" i="4" s="1"/>
  <c r="AG59" i="4"/>
  <c r="AX59" i="4" s="1"/>
  <c r="AG60" i="4"/>
  <c r="AX60" i="4" s="1"/>
  <c r="AG61" i="4"/>
  <c r="AX61" i="4" s="1"/>
  <c r="AG62" i="4"/>
  <c r="AX62" i="4" s="1"/>
  <c r="AG63" i="4"/>
  <c r="AX63" i="4" s="1"/>
  <c r="AG64" i="4"/>
  <c r="AX64" i="4" s="1"/>
  <c r="AG65" i="4"/>
  <c r="AX65" i="4" s="1"/>
  <c r="AG66" i="4"/>
  <c r="AG67" i="4"/>
  <c r="AX67" i="4" s="1"/>
  <c r="AG35" i="4"/>
  <c r="AX35" i="4" s="1"/>
  <c r="AG39" i="3"/>
  <c r="AX39" i="3" s="1"/>
  <c r="AG40" i="3"/>
  <c r="AG41" i="3"/>
  <c r="AX41" i="3" s="1"/>
  <c r="AG42" i="3"/>
  <c r="AX42" i="3" s="1"/>
  <c r="AG43" i="3"/>
  <c r="AX43" i="3" s="1"/>
  <c r="AG44" i="3"/>
  <c r="AG45" i="3"/>
  <c r="AX45" i="3" s="1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35" i="3"/>
  <c r="AX35" i="3" s="1"/>
  <c r="AG60" i="2"/>
  <c r="AX60" i="2" s="1"/>
  <c r="AG61" i="2"/>
  <c r="AG62" i="2"/>
  <c r="AG63" i="2"/>
  <c r="AX63" i="2" s="1"/>
  <c r="AG64" i="2"/>
  <c r="AX64" i="2" s="1"/>
  <c r="AG65" i="2"/>
  <c r="AX65" i="2" s="1"/>
  <c r="AG66" i="2"/>
  <c r="AX66" i="2" s="1"/>
  <c r="AG67" i="2"/>
  <c r="AX67" i="2" s="1"/>
  <c r="AG35" i="2"/>
  <c r="AX35" i="2" s="1"/>
  <c r="AG37" i="1"/>
  <c r="AX37" i="1" s="1"/>
  <c r="AG38" i="1"/>
  <c r="AX38" i="1" s="1"/>
  <c r="AG39" i="1"/>
  <c r="AX39" i="1" s="1"/>
  <c r="AG40" i="1"/>
  <c r="AG41" i="1"/>
  <c r="AX41" i="1" s="1"/>
  <c r="AG42" i="1"/>
  <c r="AX42" i="1" s="1"/>
  <c r="AG43" i="1"/>
  <c r="AX43" i="1" s="1"/>
  <c r="AG44" i="1"/>
  <c r="AX44" i="1" s="1"/>
  <c r="AG45" i="1"/>
  <c r="AX45" i="1" s="1"/>
  <c r="AG46" i="1"/>
  <c r="AX46" i="1" s="1"/>
  <c r="AG47" i="1"/>
  <c r="AX47" i="1" s="1"/>
  <c r="AG48" i="1"/>
  <c r="AX48" i="1" s="1"/>
  <c r="AG49" i="1"/>
  <c r="AX49" i="1" s="1"/>
  <c r="AG50" i="1"/>
  <c r="AX50" i="1" s="1"/>
  <c r="AG51" i="1"/>
  <c r="AX51" i="1" s="1"/>
  <c r="AG52" i="1"/>
  <c r="AX52" i="1" s="1"/>
  <c r="AG53" i="1"/>
  <c r="AX53" i="1" s="1"/>
  <c r="AG54" i="1"/>
  <c r="AX54" i="1" s="1"/>
  <c r="AG55" i="1"/>
  <c r="AX55" i="1" s="1"/>
  <c r="AG56" i="1"/>
  <c r="AX56" i="1" s="1"/>
  <c r="AG57" i="1"/>
  <c r="AX57" i="1" s="1"/>
  <c r="AG59" i="1"/>
  <c r="AX59" i="1" s="1"/>
  <c r="AG60" i="1"/>
  <c r="AX60" i="1" s="1"/>
  <c r="AG61" i="1"/>
  <c r="AG62" i="1"/>
  <c r="AX62" i="1" s="1"/>
  <c r="AG63" i="1"/>
  <c r="AX63" i="1" s="1"/>
  <c r="AG64" i="1"/>
  <c r="AX64" i="1" s="1"/>
  <c r="AG65" i="1"/>
  <c r="AX65" i="1" s="1"/>
  <c r="AG66" i="1"/>
  <c r="AX66" i="1" s="1"/>
  <c r="AG67" i="1"/>
  <c r="AX67" i="1" s="1"/>
  <c r="AY34" i="6" l="1"/>
  <c r="AZ34" i="6"/>
  <c r="BA34" i="6" s="1"/>
  <c r="AZ35" i="6"/>
  <c r="BA35" i="6" s="1"/>
  <c r="AX51" i="4"/>
  <c r="AX53" i="4"/>
  <c r="AX52" i="4"/>
  <c r="AY51" i="6"/>
  <c r="AZ52" i="6" s="1"/>
  <c r="BA52" i="6" s="1"/>
  <c r="AY51" i="15"/>
  <c r="AZ52" i="15" s="1"/>
  <c r="BA52" i="15" s="1"/>
  <c r="AH56" i="3"/>
  <c r="AX56" i="3"/>
  <c r="AH62" i="2"/>
  <c r="AX62" i="2"/>
  <c r="AH67" i="3"/>
  <c r="AX67" i="3"/>
  <c r="AH63" i="3"/>
  <c r="AX63" i="3"/>
  <c r="AH59" i="3"/>
  <c r="AX59" i="3"/>
  <c r="AH55" i="3"/>
  <c r="AX55" i="3"/>
  <c r="AH51" i="3"/>
  <c r="AX51" i="3"/>
  <c r="AH47" i="3"/>
  <c r="AX47" i="3"/>
  <c r="AH56" i="4"/>
  <c r="AX56" i="4"/>
  <c r="AH62" i="5"/>
  <c r="AX62" i="5"/>
  <c r="AH60" i="3"/>
  <c r="AX60" i="3"/>
  <c r="AH48" i="3"/>
  <c r="AX48" i="3"/>
  <c r="AH61" i="2"/>
  <c r="AX61" i="2"/>
  <c r="AH66" i="3"/>
  <c r="AX66" i="3"/>
  <c r="AH62" i="3"/>
  <c r="AX62" i="3"/>
  <c r="AH58" i="3"/>
  <c r="AX58" i="3"/>
  <c r="AH54" i="3"/>
  <c r="AX54" i="3"/>
  <c r="AH50" i="3"/>
  <c r="AX50" i="3"/>
  <c r="AH42" i="4"/>
  <c r="AX42" i="4"/>
  <c r="AH40" i="5"/>
  <c r="AX40" i="5"/>
  <c r="AH61" i="5"/>
  <c r="AX61" i="5"/>
  <c r="AH64" i="3"/>
  <c r="AX64" i="3"/>
  <c r="AH52" i="3"/>
  <c r="AX52" i="3"/>
  <c r="AH40" i="6"/>
  <c r="AX40" i="6"/>
  <c r="AH61" i="1"/>
  <c r="AX61" i="1"/>
  <c r="AH40" i="1"/>
  <c r="AX40" i="1"/>
  <c r="AH65" i="3"/>
  <c r="AX65" i="3"/>
  <c r="AH61" i="3"/>
  <c r="AX61" i="3"/>
  <c r="AH57" i="3"/>
  <c r="AX57" i="3"/>
  <c r="AH53" i="3"/>
  <c r="AX53" i="3"/>
  <c r="AH49" i="3"/>
  <c r="AX49" i="3"/>
  <c r="AH44" i="3"/>
  <c r="AX44" i="3"/>
  <c r="AH40" i="3"/>
  <c r="AX40" i="3"/>
  <c r="AH66" i="4"/>
  <c r="AX66" i="4"/>
  <c r="AH50" i="4"/>
  <c r="AX50" i="4"/>
  <c r="AH61" i="15"/>
  <c r="AX61" i="15"/>
  <c r="AH40" i="15"/>
  <c r="AX40" i="15"/>
  <c r="AH62" i="15"/>
  <c r="AX62" i="15"/>
  <c r="AH45" i="3"/>
  <c r="AH59" i="4"/>
  <c r="AH55" i="4"/>
  <c r="AH47" i="4"/>
  <c r="AH64" i="4"/>
  <c r="AH60" i="4"/>
  <c r="AH52" i="4"/>
  <c r="AH44" i="4"/>
  <c r="AH40" i="4"/>
  <c r="AH53" i="4"/>
  <c r="AH58" i="4"/>
  <c r="AH67" i="4"/>
  <c r="AH43" i="4"/>
  <c r="AH39" i="4"/>
  <c r="AH48" i="4"/>
  <c r="AH61" i="4"/>
  <c r="AH63" i="4"/>
  <c r="AH51" i="4"/>
  <c r="AH45" i="4"/>
  <c r="AH62" i="4"/>
  <c r="AH54" i="4"/>
  <c r="AH65" i="4"/>
  <c r="AH57" i="4"/>
  <c r="AH49" i="4"/>
  <c r="AH41" i="4"/>
  <c r="AZ54" i="6" l="1"/>
  <c r="BA54" i="6" s="1"/>
  <c r="AZ51" i="6"/>
  <c r="BA51" i="6" s="1"/>
  <c r="AZ53" i="6"/>
  <c r="BA53" i="6" s="1"/>
  <c r="AZ51" i="15"/>
  <c r="BA51" i="15" s="1"/>
  <c r="AZ53" i="15"/>
  <c r="BA53" i="15" s="1"/>
  <c r="AZ54" i="15"/>
  <c r="BA54" i="15" s="1"/>
  <c r="AY50" i="4"/>
  <c r="AZ51" i="4" s="1"/>
  <c r="BA51" i="4" s="1"/>
  <c r="AG37" i="19"/>
  <c r="AX37" i="19" s="1"/>
  <c r="AG38" i="19"/>
  <c r="AX38" i="19" s="1"/>
  <c r="AG39" i="19"/>
  <c r="AX39" i="19" s="1"/>
  <c r="AG40" i="19"/>
  <c r="AG41" i="19"/>
  <c r="AX41" i="19" s="1"/>
  <c r="AG42" i="19"/>
  <c r="AX42" i="19" s="1"/>
  <c r="AG43" i="19"/>
  <c r="AX43" i="19" s="1"/>
  <c r="AG44" i="19"/>
  <c r="AX44" i="19" s="1"/>
  <c r="AG45" i="19"/>
  <c r="AX45" i="19" s="1"/>
  <c r="AG47" i="19"/>
  <c r="AX47" i="19" s="1"/>
  <c r="AG48" i="19"/>
  <c r="AX48" i="19" s="1"/>
  <c r="AG49" i="19"/>
  <c r="AX49" i="19" s="1"/>
  <c r="AG50" i="19"/>
  <c r="AX50" i="19" s="1"/>
  <c r="AG51" i="19"/>
  <c r="AX51" i="19" s="1"/>
  <c r="AG52" i="19"/>
  <c r="AX52" i="19" s="1"/>
  <c r="AG53" i="19"/>
  <c r="AX53" i="19" s="1"/>
  <c r="AG54" i="19"/>
  <c r="AX54" i="19" s="1"/>
  <c r="AG55" i="19"/>
  <c r="AX55" i="19" s="1"/>
  <c r="AG56" i="19"/>
  <c r="AX56" i="19" s="1"/>
  <c r="AG57" i="19"/>
  <c r="AX57" i="19" s="1"/>
  <c r="AG58" i="19"/>
  <c r="AX58" i="19" s="1"/>
  <c r="AG59" i="19"/>
  <c r="AX59" i="19" s="1"/>
  <c r="AG60" i="19"/>
  <c r="AX60" i="19" s="1"/>
  <c r="AG61" i="19"/>
  <c r="AG62" i="19"/>
  <c r="AG63" i="19"/>
  <c r="AG64" i="19"/>
  <c r="AX64" i="19" s="1"/>
  <c r="AG65" i="19"/>
  <c r="AX65" i="19" s="1"/>
  <c r="AG66" i="19"/>
  <c r="AX66" i="19" s="1"/>
  <c r="AG67" i="19"/>
  <c r="AX67" i="19" s="1"/>
  <c r="AG37" i="18"/>
  <c r="AX37" i="18" s="1"/>
  <c r="AG38" i="18"/>
  <c r="AX38" i="18" s="1"/>
  <c r="AG39" i="18"/>
  <c r="AG40" i="18"/>
  <c r="AG41" i="18"/>
  <c r="AX41" i="18" s="1"/>
  <c r="AG42" i="18"/>
  <c r="AX42" i="18" s="1"/>
  <c r="AG43" i="18"/>
  <c r="AX43" i="18" s="1"/>
  <c r="AG44" i="18"/>
  <c r="AX44" i="18" s="1"/>
  <c r="AG45" i="18"/>
  <c r="AX45" i="18" s="1"/>
  <c r="AG47" i="18"/>
  <c r="AX47" i="18" s="1"/>
  <c r="AG48" i="18"/>
  <c r="AX48" i="18" s="1"/>
  <c r="AG49" i="18"/>
  <c r="AX49" i="18" s="1"/>
  <c r="AG50" i="18"/>
  <c r="AX50" i="18" s="1"/>
  <c r="AG51" i="18"/>
  <c r="AX51" i="18" s="1"/>
  <c r="AG52" i="18"/>
  <c r="AX52" i="18" s="1"/>
  <c r="AG53" i="18"/>
  <c r="AX53" i="18" s="1"/>
  <c r="AG54" i="18"/>
  <c r="AX54" i="18" s="1"/>
  <c r="AG55" i="18"/>
  <c r="AX55" i="18" s="1"/>
  <c r="AG56" i="18"/>
  <c r="AX56" i="18" s="1"/>
  <c r="AG57" i="18"/>
  <c r="AX57" i="18" s="1"/>
  <c r="AG58" i="18"/>
  <c r="AX58" i="18" s="1"/>
  <c r="AG59" i="18"/>
  <c r="AX59" i="18" s="1"/>
  <c r="AG60" i="18"/>
  <c r="AX60" i="18" s="1"/>
  <c r="AG61" i="18"/>
  <c r="AG62" i="18"/>
  <c r="AG63" i="18"/>
  <c r="AX63" i="18" s="1"/>
  <c r="AG64" i="18"/>
  <c r="AX64" i="18" s="1"/>
  <c r="AG65" i="18"/>
  <c r="AG66" i="18"/>
  <c r="AG67" i="18"/>
  <c r="AG37" i="17"/>
  <c r="AX37" i="17" s="1"/>
  <c r="AG38" i="17"/>
  <c r="AG39" i="17"/>
  <c r="AX39" i="17" s="1"/>
  <c r="AG40" i="17"/>
  <c r="AG41" i="17"/>
  <c r="AX41" i="17" s="1"/>
  <c r="AG42" i="17"/>
  <c r="AX42" i="17" s="1"/>
  <c r="AG43" i="17"/>
  <c r="AX43" i="17" s="1"/>
  <c r="AG44" i="17"/>
  <c r="AX44" i="17" s="1"/>
  <c r="AG45" i="17"/>
  <c r="AX45" i="17" s="1"/>
  <c r="AG47" i="17"/>
  <c r="AX47" i="17" s="1"/>
  <c r="AG48" i="17"/>
  <c r="AX48" i="17" s="1"/>
  <c r="AG49" i="17"/>
  <c r="AX49" i="17" s="1"/>
  <c r="AG50" i="17"/>
  <c r="AX50" i="17" s="1"/>
  <c r="AG51" i="17"/>
  <c r="AX51" i="17" s="1"/>
  <c r="AG52" i="17"/>
  <c r="AX52" i="17" s="1"/>
  <c r="AG53" i="17"/>
  <c r="AX53" i="17" s="1"/>
  <c r="AG54" i="17"/>
  <c r="AX54" i="17" s="1"/>
  <c r="AG55" i="17"/>
  <c r="AX55" i="17" s="1"/>
  <c r="AG56" i="17"/>
  <c r="AX56" i="17" s="1"/>
  <c r="AG57" i="17"/>
  <c r="AX57" i="17" s="1"/>
  <c r="AG58" i="17"/>
  <c r="AX58" i="17" s="1"/>
  <c r="AG59" i="17"/>
  <c r="AX59" i="17" s="1"/>
  <c r="AG60" i="17"/>
  <c r="AX60" i="17" s="1"/>
  <c r="AG61" i="17"/>
  <c r="AG62" i="17"/>
  <c r="AG63" i="17"/>
  <c r="AG64" i="17"/>
  <c r="AG65" i="17"/>
  <c r="AG66" i="17"/>
  <c r="AG67" i="17"/>
  <c r="AG37" i="16"/>
  <c r="AX37" i="16" s="1"/>
  <c r="AG38" i="16"/>
  <c r="AX38" i="16" s="1"/>
  <c r="AG39" i="16"/>
  <c r="AX39" i="16" s="1"/>
  <c r="AG40" i="16"/>
  <c r="AG41" i="16"/>
  <c r="AX41" i="16" s="1"/>
  <c r="AG42" i="16"/>
  <c r="AX42" i="16" s="1"/>
  <c r="AG43" i="16"/>
  <c r="AX43" i="16" s="1"/>
  <c r="AG44" i="16"/>
  <c r="AX44" i="16" s="1"/>
  <c r="AG45" i="16"/>
  <c r="AX45" i="16" s="1"/>
  <c r="AG47" i="16"/>
  <c r="AX47" i="16" s="1"/>
  <c r="AG48" i="16"/>
  <c r="AX48" i="16" s="1"/>
  <c r="AG49" i="16"/>
  <c r="AX49" i="16" s="1"/>
  <c r="AG50" i="16"/>
  <c r="AX50" i="16" s="1"/>
  <c r="AG51" i="16"/>
  <c r="AX51" i="16" s="1"/>
  <c r="AG52" i="16"/>
  <c r="AX52" i="16" s="1"/>
  <c r="AG53" i="16"/>
  <c r="AX53" i="16" s="1"/>
  <c r="AG54" i="16"/>
  <c r="AX54" i="16" s="1"/>
  <c r="AG55" i="16"/>
  <c r="AX55" i="16" s="1"/>
  <c r="AG56" i="16"/>
  <c r="AX56" i="16" s="1"/>
  <c r="AG57" i="16"/>
  <c r="AX57" i="16" s="1"/>
  <c r="AG58" i="16"/>
  <c r="AX58" i="16" s="1"/>
  <c r="AG59" i="16"/>
  <c r="AX59" i="16" s="1"/>
  <c r="AG60" i="16"/>
  <c r="AX60" i="16" s="1"/>
  <c r="AG61" i="16"/>
  <c r="AG62" i="16"/>
  <c r="AG63" i="16"/>
  <c r="AX63" i="16" s="1"/>
  <c r="AG64" i="16"/>
  <c r="AX64" i="16" s="1"/>
  <c r="AG65" i="16"/>
  <c r="AX65" i="16" s="1"/>
  <c r="AG66" i="16"/>
  <c r="AX66" i="16" s="1"/>
  <c r="AG67" i="16"/>
  <c r="AX67" i="16" s="1"/>
  <c r="AG38" i="13"/>
  <c r="AX38" i="13" s="1"/>
  <c r="AG39" i="13"/>
  <c r="AX39" i="13" s="1"/>
  <c r="AG40" i="13"/>
  <c r="AG41" i="13"/>
  <c r="AX41" i="13" s="1"/>
  <c r="AG42" i="13"/>
  <c r="AX42" i="13" s="1"/>
  <c r="AG43" i="13"/>
  <c r="AX43" i="13" s="1"/>
  <c r="AG44" i="13"/>
  <c r="AX44" i="13" s="1"/>
  <c r="AG45" i="13"/>
  <c r="AX45" i="13" s="1"/>
  <c r="AG47" i="13"/>
  <c r="AX47" i="13" s="1"/>
  <c r="AG48" i="13"/>
  <c r="AX48" i="13" s="1"/>
  <c r="AG49" i="13"/>
  <c r="AX49" i="13" s="1"/>
  <c r="AG50" i="13"/>
  <c r="AX50" i="13" s="1"/>
  <c r="AG51" i="13"/>
  <c r="AX51" i="13" s="1"/>
  <c r="AG52" i="13"/>
  <c r="AX52" i="13" s="1"/>
  <c r="AG53" i="13"/>
  <c r="AX53" i="13" s="1"/>
  <c r="AG54" i="13"/>
  <c r="AX54" i="13" s="1"/>
  <c r="AG55" i="13"/>
  <c r="AX55" i="13" s="1"/>
  <c r="AG56" i="13"/>
  <c r="AX56" i="13" s="1"/>
  <c r="AG57" i="13"/>
  <c r="AX57" i="13" s="1"/>
  <c r="AG58" i="13"/>
  <c r="AX58" i="13" s="1"/>
  <c r="AG59" i="13"/>
  <c r="AX59" i="13" s="1"/>
  <c r="AG60" i="13"/>
  <c r="AX60" i="13" s="1"/>
  <c r="AG61" i="13"/>
  <c r="AG62" i="13"/>
  <c r="AG63" i="13"/>
  <c r="AX63" i="13" s="1"/>
  <c r="AG64" i="13"/>
  <c r="AX64" i="13" s="1"/>
  <c r="AG65" i="13"/>
  <c r="AG66" i="13"/>
  <c r="AG67" i="13"/>
  <c r="AG39" i="12"/>
  <c r="AX39" i="12" s="1"/>
  <c r="AG40" i="12"/>
  <c r="AG41" i="12"/>
  <c r="AX41" i="12" s="1"/>
  <c r="AG42" i="12"/>
  <c r="AX42" i="12" s="1"/>
  <c r="AG43" i="12"/>
  <c r="AX43" i="12" s="1"/>
  <c r="AG44" i="12"/>
  <c r="AX44" i="12" s="1"/>
  <c r="AG45" i="12"/>
  <c r="AX45" i="12" s="1"/>
  <c r="AG47" i="12"/>
  <c r="AX47" i="12" s="1"/>
  <c r="AG48" i="12"/>
  <c r="AX48" i="12" s="1"/>
  <c r="AG49" i="12"/>
  <c r="AX49" i="12" s="1"/>
  <c r="AG50" i="12"/>
  <c r="AX50" i="12" s="1"/>
  <c r="AG51" i="12"/>
  <c r="AX51" i="12" s="1"/>
  <c r="AG52" i="12"/>
  <c r="AX52" i="12" s="1"/>
  <c r="AG53" i="12"/>
  <c r="AX53" i="12" s="1"/>
  <c r="AG54" i="12"/>
  <c r="AX54" i="12" s="1"/>
  <c r="AG55" i="12"/>
  <c r="AX55" i="12" s="1"/>
  <c r="AG56" i="12"/>
  <c r="AX56" i="12" s="1"/>
  <c r="AG57" i="12"/>
  <c r="AX57" i="12" s="1"/>
  <c r="AG58" i="12"/>
  <c r="AX58" i="12" s="1"/>
  <c r="AG59" i="12"/>
  <c r="AX59" i="12" s="1"/>
  <c r="AG60" i="12"/>
  <c r="AX60" i="12" s="1"/>
  <c r="AG61" i="12"/>
  <c r="AX61" i="12" s="1"/>
  <c r="AG62" i="12"/>
  <c r="AX62" i="12" s="1"/>
  <c r="AG63" i="12"/>
  <c r="AX63" i="12" s="1"/>
  <c r="AG64" i="12"/>
  <c r="AX64" i="12" s="1"/>
  <c r="AG65" i="12"/>
  <c r="AX65" i="12" s="1"/>
  <c r="AG66" i="12"/>
  <c r="AG67" i="12"/>
  <c r="AG38" i="11"/>
  <c r="AX38" i="11" s="1"/>
  <c r="AG39" i="11"/>
  <c r="AX39" i="11" s="1"/>
  <c r="AG40" i="11"/>
  <c r="AG41" i="11"/>
  <c r="AX41" i="11" s="1"/>
  <c r="AG42" i="11"/>
  <c r="AX42" i="11" s="1"/>
  <c r="AG43" i="11"/>
  <c r="AX43" i="11" s="1"/>
  <c r="AG44" i="11"/>
  <c r="AX44" i="11" s="1"/>
  <c r="AG45" i="11"/>
  <c r="AX45" i="11" s="1"/>
  <c r="AG47" i="11"/>
  <c r="AX47" i="11" s="1"/>
  <c r="AG48" i="11"/>
  <c r="AX48" i="11" s="1"/>
  <c r="AG49" i="11"/>
  <c r="AX49" i="11" s="1"/>
  <c r="AG50" i="11"/>
  <c r="AX50" i="11" s="1"/>
  <c r="AG51" i="11"/>
  <c r="AX51" i="11" s="1"/>
  <c r="AG52" i="11"/>
  <c r="AX52" i="11" s="1"/>
  <c r="AG53" i="11"/>
  <c r="AX53" i="11" s="1"/>
  <c r="AG54" i="11"/>
  <c r="AX54" i="11" s="1"/>
  <c r="AG55" i="11"/>
  <c r="AX55" i="11" s="1"/>
  <c r="AG56" i="11"/>
  <c r="AX56" i="11" s="1"/>
  <c r="AG57" i="11"/>
  <c r="AX57" i="11" s="1"/>
  <c r="AG58" i="11"/>
  <c r="AX58" i="11" s="1"/>
  <c r="AG59" i="11"/>
  <c r="AX59" i="11" s="1"/>
  <c r="AG60" i="11"/>
  <c r="AX60" i="11" s="1"/>
  <c r="AG61" i="11"/>
  <c r="AX61" i="11" s="1"/>
  <c r="AG62" i="11"/>
  <c r="AX62" i="11" s="1"/>
  <c r="AG63" i="11"/>
  <c r="AX63" i="11" s="1"/>
  <c r="AG64" i="11"/>
  <c r="AX64" i="11" s="1"/>
  <c r="AG65" i="11"/>
  <c r="AX65" i="11" s="1"/>
  <c r="AG66" i="11"/>
  <c r="AG67" i="11"/>
  <c r="AG37" i="10"/>
  <c r="AX37" i="10" s="1"/>
  <c r="AG38" i="10"/>
  <c r="AX38" i="10" s="1"/>
  <c r="AG39" i="10"/>
  <c r="AX39" i="10" s="1"/>
  <c r="AG40" i="10"/>
  <c r="AG41" i="10"/>
  <c r="AX41" i="10" s="1"/>
  <c r="AG42" i="10"/>
  <c r="AX42" i="10" s="1"/>
  <c r="AG43" i="10"/>
  <c r="AX43" i="10" s="1"/>
  <c r="AG44" i="10"/>
  <c r="AX44" i="10" s="1"/>
  <c r="AG45" i="10"/>
  <c r="AX45" i="10" s="1"/>
  <c r="AG47" i="10"/>
  <c r="AX47" i="10" s="1"/>
  <c r="AG48" i="10"/>
  <c r="AX48" i="10" s="1"/>
  <c r="AG49" i="10"/>
  <c r="AX49" i="10" s="1"/>
  <c r="AG50" i="10"/>
  <c r="AX50" i="10" s="1"/>
  <c r="AG51" i="10"/>
  <c r="AX51" i="10" s="1"/>
  <c r="AG52" i="10"/>
  <c r="AX52" i="10" s="1"/>
  <c r="AG53" i="10"/>
  <c r="AX53" i="10" s="1"/>
  <c r="AG54" i="10"/>
  <c r="AX54" i="10" s="1"/>
  <c r="AG55" i="10"/>
  <c r="AX55" i="10" s="1"/>
  <c r="AG56" i="10"/>
  <c r="AX56" i="10" s="1"/>
  <c r="AG57" i="10"/>
  <c r="AX57" i="10" s="1"/>
  <c r="AG58" i="10"/>
  <c r="AX58" i="10" s="1"/>
  <c r="AG59" i="10"/>
  <c r="AX59" i="10" s="1"/>
  <c r="AG60" i="10"/>
  <c r="AX60" i="10" s="1"/>
  <c r="AG61" i="10"/>
  <c r="AX61" i="10" s="1"/>
  <c r="AG62" i="10"/>
  <c r="AX62" i="10" s="1"/>
  <c r="AG63" i="10"/>
  <c r="AX63" i="10" s="1"/>
  <c r="AG64" i="10"/>
  <c r="AX64" i="10" s="1"/>
  <c r="AG65" i="10"/>
  <c r="AX65" i="10" s="1"/>
  <c r="AG66" i="10"/>
  <c r="AX66" i="10" s="1"/>
  <c r="AG67" i="10"/>
  <c r="AX67" i="10" s="1"/>
  <c r="AG39" i="9"/>
  <c r="AX39" i="9" s="1"/>
  <c r="AG40" i="9"/>
  <c r="AG41" i="9"/>
  <c r="AX41" i="9" s="1"/>
  <c r="AG42" i="9"/>
  <c r="AX42" i="9" s="1"/>
  <c r="AG43" i="9"/>
  <c r="AX43" i="9" s="1"/>
  <c r="AG44" i="9"/>
  <c r="AX44" i="9" s="1"/>
  <c r="AG45" i="9"/>
  <c r="AX45" i="9" s="1"/>
  <c r="AG47" i="9"/>
  <c r="AX47" i="9" s="1"/>
  <c r="AG48" i="9"/>
  <c r="AX48" i="9" s="1"/>
  <c r="AG49" i="9"/>
  <c r="AX49" i="9" s="1"/>
  <c r="AG50" i="9"/>
  <c r="AX50" i="9" s="1"/>
  <c r="AG51" i="9"/>
  <c r="AX51" i="9" s="1"/>
  <c r="AG52" i="9"/>
  <c r="AX52" i="9" s="1"/>
  <c r="AG53" i="9"/>
  <c r="AX53" i="9" s="1"/>
  <c r="AG54" i="9"/>
  <c r="AX54" i="9" s="1"/>
  <c r="AG55" i="9"/>
  <c r="AX55" i="9" s="1"/>
  <c r="AG56" i="9"/>
  <c r="AX56" i="9" s="1"/>
  <c r="AG57" i="9"/>
  <c r="AX57" i="9" s="1"/>
  <c r="AG58" i="9"/>
  <c r="AX58" i="9" s="1"/>
  <c r="AG59" i="9"/>
  <c r="AX59" i="9" s="1"/>
  <c r="AG60" i="9"/>
  <c r="AX60" i="9" s="1"/>
  <c r="AG61" i="9"/>
  <c r="AX61" i="9" s="1"/>
  <c r="AG62" i="9"/>
  <c r="AX62" i="9" s="1"/>
  <c r="AG63" i="9"/>
  <c r="AX63" i="9" s="1"/>
  <c r="AG64" i="9"/>
  <c r="AX64" i="9" s="1"/>
  <c r="AG65" i="9"/>
  <c r="AX65" i="9" s="1"/>
  <c r="AG66" i="9"/>
  <c r="AX66" i="9" s="1"/>
  <c r="AG67" i="9"/>
  <c r="AX67" i="9" s="1"/>
  <c r="AG37" i="7"/>
  <c r="AX37" i="7" s="1"/>
  <c r="AG38" i="7"/>
  <c r="AX38" i="7" s="1"/>
  <c r="AG39" i="7"/>
  <c r="AX39" i="7" s="1"/>
  <c r="AG40" i="7"/>
  <c r="AG41" i="7"/>
  <c r="AX41" i="7" s="1"/>
  <c r="AG42" i="7"/>
  <c r="AX42" i="7" s="1"/>
  <c r="AG43" i="7"/>
  <c r="AX43" i="7" s="1"/>
  <c r="AG44" i="7"/>
  <c r="AX44" i="7" s="1"/>
  <c r="AG45" i="7"/>
  <c r="AX45" i="7" s="1"/>
  <c r="AG47" i="7"/>
  <c r="AX47" i="7" s="1"/>
  <c r="AG48" i="7"/>
  <c r="AG49" i="7"/>
  <c r="AX49" i="7" s="1"/>
  <c r="AG50" i="7"/>
  <c r="AX50" i="7" s="1"/>
  <c r="AG51" i="7"/>
  <c r="AX51" i="7" s="1"/>
  <c r="AG52" i="7"/>
  <c r="AX52" i="7" s="1"/>
  <c r="AG53" i="7"/>
  <c r="AX53" i="7" s="1"/>
  <c r="AG54" i="7"/>
  <c r="AX54" i="7" s="1"/>
  <c r="AG55" i="7"/>
  <c r="AX55" i="7" s="1"/>
  <c r="AG56" i="7"/>
  <c r="AX56" i="7" s="1"/>
  <c r="AG57" i="7"/>
  <c r="AX57" i="7" s="1"/>
  <c r="AG58" i="7"/>
  <c r="AX58" i="7" s="1"/>
  <c r="AG59" i="7"/>
  <c r="AX59" i="7" s="1"/>
  <c r="AG60" i="7"/>
  <c r="AX60" i="7" s="1"/>
  <c r="AG61" i="7"/>
  <c r="AG62" i="7"/>
  <c r="AG63" i="7"/>
  <c r="AX63" i="7" s="1"/>
  <c r="AG64" i="7"/>
  <c r="AX64" i="7" s="1"/>
  <c r="AG65" i="7"/>
  <c r="AX65" i="7" s="1"/>
  <c r="AG66" i="7"/>
  <c r="AX66" i="7" s="1"/>
  <c r="AG67" i="7"/>
  <c r="AX67" i="7" s="1"/>
  <c r="AG38" i="14"/>
  <c r="AX38" i="14" s="1"/>
  <c r="AG39" i="14"/>
  <c r="AG40" i="14"/>
  <c r="AG41" i="14"/>
  <c r="AX41" i="14" s="1"/>
  <c r="AG42" i="14"/>
  <c r="AX42" i="14" s="1"/>
  <c r="AG43" i="14"/>
  <c r="AX43" i="14" s="1"/>
  <c r="AG44" i="14"/>
  <c r="AX44" i="14" s="1"/>
  <c r="AG45" i="14"/>
  <c r="AX45" i="14" s="1"/>
  <c r="AG47" i="14"/>
  <c r="AX47" i="14" s="1"/>
  <c r="AG48" i="14"/>
  <c r="AX48" i="14" s="1"/>
  <c r="AG49" i="14"/>
  <c r="AX49" i="14" s="1"/>
  <c r="AG50" i="14"/>
  <c r="AX50" i="14" s="1"/>
  <c r="AG51" i="14"/>
  <c r="AX51" i="14" s="1"/>
  <c r="AG52" i="14"/>
  <c r="AX52" i="14" s="1"/>
  <c r="AG53" i="14"/>
  <c r="AX53" i="14" s="1"/>
  <c r="AG54" i="14"/>
  <c r="AX54" i="14" s="1"/>
  <c r="AG55" i="14"/>
  <c r="AX55" i="14" s="1"/>
  <c r="AG56" i="14"/>
  <c r="AX56" i="14" s="1"/>
  <c r="AG57" i="14"/>
  <c r="AX57" i="14" s="1"/>
  <c r="AG58" i="14"/>
  <c r="AX58" i="14" s="1"/>
  <c r="AG59" i="14"/>
  <c r="AX59" i="14" s="1"/>
  <c r="AG60" i="14"/>
  <c r="AX60" i="14" s="1"/>
  <c r="AG61" i="14"/>
  <c r="AG62" i="14"/>
  <c r="AG63" i="14"/>
  <c r="AX63" i="14" s="1"/>
  <c r="AG64" i="14"/>
  <c r="AX64" i="14" s="1"/>
  <c r="AG65" i="14"/>
  <c r="AX65" i="14" s="1"/>
  <c r="AG66" i="14"/>
  <c r="AG67" i="14"/>
  <c r="AX66" i="11" l="1"/>
  <c r="AH66" i="11"/>
  <c r="AX66" i="12"/>
  <c r="AH66" i="12"/>
  <c r="AX65" i="13"/>
  <c r="AH65" i="13"/>
  <c r="AX66" i="18"/>
  <c r="AH66" i="18"/>
  <c r="AX66" i="13"/>
  <c r="AH66" i="13"/>
  <c r="AX65" i="18"/>
  <c r="AH65" i="18"/>
  <c r="AY50" i="9"/>
  <c r="AZ51" i="9" s="1"/>
  <c r="BA51" i="9" s="1"/>
  <c r="AZ50" i="9"/>
  <c r="BA50" i="9" s="1"/>
  <c r="AY50" i="16"/>
  <c r="BA52" i="16" s="1"/>
  <c r="BB52" i="16" s="1"/>
  <c r="AZ49" i="12"/>
  <c r="AZ50" i="12" s="1"/>
  <c r="BA50" i="12" s="1"/>
  <c r="AZ53" i="12"/>
  <c r="BA53" i="12" s="1"/>
  <c r="AZ52" i="12"/>
  <c r="BA52" i="12" s="1"/>
  <c r="AX67" i="18"/>
  <c r="AH67" i="18"/>
  <c r="AX67" i="13"/>
  <c r="AH67" i="13"/>
  <c r="AX67" i="12"/>
  <c r="AH67" i="12"/>
  <c r="AX67" i="11"/>
  <c r="AH67" i="11"/>
  <c r="AY38" i="13"/>
  <c r="AZ40" i="13" s="1"/>
  <c r="BA40" i="13" s="1"/>
  <c r="AZ39" i="13"/>
  <c r="BA39" i="13" s="1"/>
  <c r="AY51" i="13"/>
  <c r="AZ53" i="13" s="1"/>
  <c r="BA53" i="13" s="1"/>
  <c r="AY51" i="11"/>
  <c r="AZ52" i="11" s="1"/>
  <c r="BA52" i="11" s="1"/>
  <c r="AY51" i="18"/>
  <c r="AZ54" i="18" s="1"/>
  <c r="BA54" i="18" s="1"/>
  <c r="AY39" i="11"/>
  <c r="AZ40" i="11" s="1"/>
  <c r="BA40" i="11" s="1"/>
  <c r="AZ54" i="4"/>
  <c r="BA54" i="4" s="1"/>
  <c r="AZ53" i="4"/>
  <c r="BA53" i="4" s="1"/>
  <c r="AZ52" i="4"/>
  <c r="BA52" i="4" s="1"/>
  <c r="AH39" i="14"/>
  <c r="AX39" i="14"/>
  <c r="AH61" i="7"/>
  <c r="AX61" i="7"/>
  <c r="AH40" i="11"/>
  <c r="AX40" i="11"/>
  <c r="AH65" i="17"/>
  <c r="AX65" i="17"/>
  <c r="AH61" i="17"/>
  <c r="AX61" i="17"/>
  <c r="AH40" i="17"/>
  <c r="AX40" i="17"/>
  <c r="AH61" i="19"/>
  <c r="AX61" i="19"/>
  <c r="AH40" i="19"/>
  <c r="AX40" i="19"/>
  <c r="AH67" i="14"/>
  <c r="AX67" i="14"/>
  <c r="AH48" i="7"/>
  <c r="AX48" i="7"/>
  <c r="AH40" i="12"/>
  <c r="AX40" i="12"/>
  <c r="AH62" i="16"/>
  <c r="AX62" i="16"/>
  <c r="AH64" i="17"/>
  <c r="AX64" i="17"/>
  <c r="AH62" i="18"/>
  <c r="AX62" i="18"/>
  <c r="AH66" i="14"/>
  <c r="AX66" i="14"/>
  <c r="AH62" i="14"/>
  <c r="AX62" i="14"/>
  <c r="AH40" i="9"/>
  <c r="AX40" i="9"/>
  <c r="AH40" i="10"/>
  <c r="AX40" i="10"/>
  <c r="AH61" i="16"/>
  <c r="AX61" i="16"/>
  <c r="AH40" i="16"/>
  <c r="AX40" i="16"/>
  <c r="AH67" i="17"/>
  <c r="AX67" i="17"/>
  <c r="AH63" i="17"/>
  <c r="AX63" i="17"/>
  <c r="AH61" i="18"/>
  <c r="AX61" i="18"/>
  <c r="AH40" i="18"/>
  <c r="AX40" i="18"/>
  <c r="AH63" i="19"/>
  <c r="AX63" i="19"/>
  <c r="AH40" i="7"/>
  <c r="AX40" i="7"/>
  <c r="AH61" i="14"/>
  <c r="AX61" i="14"/>
  <c r="AH40" i="14"/>
  <c r="AX40" i="14"/>
  <c r="AH62" i="7"/>
  <c r="AX62" i="7"/>
  <c r="AH66" i="17"/>
  <c r="AX66" i="17"/>
  <c r="AH62" i="17"/>
  <c r="AX62" i="17"/>
  <c r="AH39" i="18"/>
  <c r="AX39" i="18"/>
  <c r="AY39" i="18" s="1"/>
  <c r="AZ39" i="18" s="1"/>
  <c r="BA39" i="18" s="1"/>
  <c r="AH62" i="19"/>
  <c r="AX62" i="19"/>
  <c r="AH62" i="13"/>
  <c r="AX62" i="13"/>
  <c r="AH61" i="13"/>
  <c r="AX61" i="13"/>
  <c r="AH40" i="13"/>
  <c r="AX40" i="13"/>
  <c r="AH39" i="12"/>
  <c r="AH35" i="3"/>
  <c r="AH39" i="3"/>
  <c r="AH41" i="3"/>
  <c r="AH42" i="3"/>
  <c r="AH43" i="3"/>
  <c r="U46" i="3"/>
  <c r="AG40" i="2"/>
  <c r="AG39" i="2"/>
  <c r="AX39" i="2" s="1"/>
  <c r="AG51" i="2"/>
  <c r="AX51" i="2" s="1"/>
  <c r="AG52" i="2"/>
  <c r="AX52" i="2" s="1"/>
  <c r="AG53" i="2"/>
  <c r="AX53" i="2" s="1"/>
  <c r="AZ51" i="12" l="1"/>
  <c r="BA51" i="12" s="1"/>
  <c r="AZ52" i="9"/>
  <c r="BA52" i="9" s="1"/>
  <c r="AZ53" i="9"/>
  <c r="BA53" i="9" s="1"/>
  <c r="BA51" i="16"/>
  <c r="BB51" i="16" s="1"/>
  <c r="BA50" i="16"/>
  <c r="BB50" i="16" s="1"/>
  <c r="BA53" i="16"/>
  <c r="BB53" i="16" s="1"/>
  <c r="AZ41" i="18"/>
  <c r="BA41" i="18" s="1"/>
  <c r="AZ40" i="18"/>
  <c r="BA40" i="18" s="1"/>
  <c r="AZ51" i="13"/>
  <c r="BA51" i="13" s="1"/>
  <c r="AZ52" i="13"/>
  <c r="BA52" i="13" s="1"/>
  <c r="AZ54" i="13"/>
  <c r="BA54" i="13" s="1"/>
  <c r="AZ54" i="11"/>
  <c r="BA54" i="11" s="1"/>
  <c r="AZ51" i="11"/>
  <c r="BA51" i="11" s="1"/>
  <c r="AZ53" i="11"/>
  <c r="BA53" i="11" s="1"/>
  <c r="AZ53" i="18"/>
  <c r="BA53" i="18" s="1"/>
  <c r="AZ55" i="18"/>
  <c r="BA55" i="18" s="1"/>
  <c r="AZ56" i="18"/>
  <c r="BA56" i="18" s="1"/>
  <c r="AY61" i="17"/>
  <c r="AZ61" i="17" s="1"/>
  <c r="BA61" i="17" s="1"/>
  <c r="AZ39" i="11"/>
  <c r="BA39" i="11" s="1"/>
  <c r="AH40" i="2"/>
  <c r="AX40" i="2"/>
  <c r="D43" i="22"/>
  <c r="AZ62" i="17" l="1"/>
  <c r="BA62" i="17" s="1"/>
  <c r="AH66" i="19"/>
  <c r="AH67" i="19"/>
  <c r="H35" i="19"/>
  <c r="AH35" i="19" s="1"/>
  <c r="H35" i="18"/>
  <c r="AH35" i="18" s="1"/>
  <c r="F57" i="18"/>
  <c r="E57" i="18"/>
  <c r="E54" i="18"/>
  <c r="F54" i="18"/>
  <c r="F66" i="18"/>
  <c r="E66" i="18"/>
  <c r="G36" i="18"/>
  <c r="F36" i="18"/>
  <c r="E36" i="18"/>
  <c r="F63" i="18"/>
  <c r="E63" i="18"/>
  <c r="F58" i="18"/>
  <c r="F43" i="18"/>
  <c r="E43" i="18"/>
  <c r="F44" i="18"/>
  <c r="E44" i="18"/>
  <c r="F45" i="18"/>
  <c r="E45" i="18"/>
  <c r="F47" i="18"/>
  <c r="E47" i="18"/>
  <c r="F40" i="18"/>
  <c r="F39" i="18"/>
  <c r="E40" i="18"/>
  <c r="E39" i="18"/>
  <c r="F49" i="18"/>
  <c r="E49" i="18"/>
  <c r="AH35" i="17"/>
  <c r="AH66" i="16"/>
  <c r="AH67" i="16"/>
  <c r="AH39" i="16"/>
  <c r="AH35" i="16"/>
  <c r="AH66" i="15"/>
  <c r="AH67" i="15"/>
  <c r="AH39" i="15"/>
  <c r="AH35" i="15"/>
  <c r="AH39" i="13"/>
  <c r="AH35" i="13"/>
  <c r="AH61" i="12"/>
  <c r="AH62" i="12"/>
  <c r="AH63" i="12"/>
  <c r="AH35" i="12"/>
  <c r="AH61" i="11"/>
  <c r="AH62" i="11"/>
  <c r="AH35" i="11"/>
  <c r="AH66" i="10"/>
  <c r="AH67" i="10"/>
  <c r="AH61" i="10"/>
  <c r="AH62" i="10"/>
  <c r="AH39" i="10"/>
  <c r="AH35" i="10"/>
  <c r="AH66" i="9"/>
  <c r="AH67" i="9"/>
  <c r="AH61" i="9"/>
  <c r="AH62" i="9"/>
  <c r="AH35" i="9"/>
  <c r="AH66" i="7"/>
  <c r="AH67" i="7"/>
  <c r="AH35" i="7"/>
  <c r="AH66" i="6"/>
  <c r="AH67" i="6"/>
  <c r="AH61" i="6"/>
  <c r="AH62" i="6"/>
  <c r="AH39" i="6"/>
  <c r="AH35" i="6"/>
  <c r="AH66" i="5"/>
  <c r="AH35" i="5"/>
  <c r="AH35" i="4"/>
  <c r="AH66" i="2"/>
  <c r="AH67" i="2"/>
  <c r="AH35" i="2"/>
  <c r="F58" i="19" l="1"/>
  <c r="E58" i="19"/>
  <c r="F47" i="19"/>
  <c r="E47" i="19"/>
  <c r="F49" i="19"/>
  <c r="E49" i="19"/>
  <c r="F45" i="19"/>
  <c r="E45" i="19"/>
  <c r="D83" i="19" l="1"/>
  <c r="AH67" i="1"/>
  <c r="AH66" i="1"/>
  <c r="AH39" i="19" l="1"/>
  <c r="F39" i="19"/>
  <c r="F38" i="19"/>
  <c r="E39" i="19"/>
  <c r="E38" i="19"/>
  <c r="AH51" i="19"/>
  <c r="AH52" i="19"/>
  <c r="AH53" i="19"/>
  <c r="AH54" i="19"/>
  <c r="AH51" i="18"/>
  <c r="AH52" i="18"/>
  <c r="AH53" i="18"/>
  <c r="AH51" i="17"/>
  <c r="AH52" i="17"/>
  <c r="AH53" i="17"/>
  <c r="AH51" i="16"/>
  <c r="AH52" i="16"/>
  <c r="AH53" i="16"/>
  <c r="AH51" i="15"/>
  <c r="AH52" i="15"/>
  <c r="AH53" i="15"/>
  <c r="AH51" i="13"/>
  <c r="AH52" i="13"/>
  <c r="AH53" i="13"/>
  <c r="AH51" i="12"/>
  <c r="AH52" i="12"/>
  <c r="AH53" i="12"/>
  <c r="AH39" i="11"/>
  <c r="AH51" i="11"/>
  <c r="AH52" i="11"/>
  <c r="AH53" i="11"/>
  <c r="AH54" i="11"/>
  <c r="AH51" i="10"/>
  <c r="AH52" i="10"/>
  <c r="AH53" i="10"/>
  <c r="AH39" i="9"/>
  <c r="AH51" i="9"/>
  <c r="AH52" i="9"/>
  <c r="AH53" i="9"/>
  <c r="AH39" i="7"/>
  <c r="AH41" i="7"/>
  <c r="AH51" i="7"/>
  <c r="AH52" i="7"/>
  <c r="AH53" i="7"/>
  <c r="AH51" i="14"/>
  <c r="AH52" i="14"/>
  <c r="AH53" i="14"/>
  <c r="AH51" i="6"/>
  <c r="AH52" i="6"/>
  <c r="AH53" i="6"/>
  <c r="AH39" i="5"/>
  <c r="AH51" i="5"/>
  <c r="AH52" i="5"/>
  <c r="AH53" i="5"/>
  <c r="AH39" i="2" l="1"/>
  <c r="AH51" i="2" l="1"/>
  <c r="AH52" i="2"/>
  <c r="AH53" i="2"/>
  <c r="F41" i="18" l="1"/>
  <c r="E41" i="18"/>
  <c r="F64" i="18"/>
  <c r="E64" i="18"/>
  <c r="D60" i="18"/>
  <c r="D62" i="22" l="1"/>
  <c r="D85" i="22" s="1"/>
  <c r="D83" i="18"/>
  <c r="E60" i="18"/>
  <c r="F60" i="18"/>
  <c r="G60" i="18"/>
  <c r="AG35" i="1" l="1"/>
  <c r="AX35" i="1" s="1"/>
  <c r="AG36" i="1"/>
  <c r="AX36" i="1" s="1"/>
  <c r="AG34" i="1"/>
  <c r="AH37" i="1"/>
  <c r="AH38" i="1"/>
  <c r="AH39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2" i="1"/>
  <c r="AH63" i="1"/>
  <c r="AH64" i="1"/>
  <c r="AH65" i="1"/>
  <c r="AX34" i="1" l="1"/>
  <c r="AX83" i="1" s="1"/>
  <c r="AX85" i="1" s="1"/>
  <c r="AH35" i="1"/>
  <c r="H18" i="19"/>
  <c r="G48" i="19"/>
  <c r="F48" i="19"/>
  <c r="E48" i="19"/>
  <c r="E35" i="19"/>
  <c r="E34" i="19"/>
  <c r="F65" i="19"/>
  <c r="E65" i="19"/>
  <c r="F51" i="19"/>
  <c r="F52" i="19"/>
  <c r="F53" i="19"/>
  <c r="F50" i="19"/>
  <c r="E51" i="19"/>
  <c r="E52" i="19"/>
  <c r="E53" i="19"/>
  <c r="E50" i="19"/>
  <c r="F35" i="18"/>
  <c r="E35" i="18"/>
  <c r="F34" i="18"/>
  <c r="E34" i="18"/>
  <c r="F65" i="18"/>
  <c r="E65" i="18"/>
  <c r="F51" i="18"/>
  <c r="F52" i="18"/>
  <c r="F53" i="18"/>
  <c r="F50" i="18"/>
  <c r="E51" i="18"/>
  <c r="E52" i="18"/>
  <c r="E53" i="18"/>
  <c r="E50" i="18"/>
  <c r="Y46" i="3" l="1"/>
  <c r="X46" i="3"/>
  <c r="X48" i="22" s="1"/>
  <c r="V46" i="3"/>
  <c r="AG38" i="3"/>
  <c r="AX38" i="3" s="1"/>
  <c r="AG37" i="3"/>
  <c r="AX37" i="3" s="1"/>
  <c r="AG36" i="3"/>
  <c r="AX36" i="3" s="1"/>
  <c r="AG34" i="3"/>
  <c r="AX34" i="3" s="1"/>
  <c r="V46" i="4"/>
  <c r="U46" i="4"/>
  <c r="AG38" i="4"/>
  <c r="AX38" i="4" s="1"/>
  <c r="AG37" i="4"/>
  <c r="AX37" i="4" s="1"/>
  <c r="AG36" i="4"/>
  <c r="AX36" i="4" s="1"/>
  <c r="AG34" i="4"/>
  <c r="AX34" i="4" s="1"/>
  <c r="AH65" i="5"/>
  <c r="AH64" i="5"/>
  <c r="AH63" i="5"/>
  <c r="AH60" i="5"/>
  <c r="AH59" i="5"/>
  <c r="AH58" i="5"/>
  <c r="AH57" i="5"/>
  <c r="AH56" i="5"/>
  <c r="AH55" i="5"/>
  <c r="AH54" i="5"/>
  <c r="AH50" i="5"/>
  <c r="AH49" i="5"/>
  <c r="AH48" i="5"/>
  <c r="AH47" i="5"/>
  <c r="Y46" i="5"/>
  <c r="X46" i="5"/>
  <c r="V46" i="5"/>
  <c r="U46" i="5"/>
  <c r="AH45" i="5"/>
  <c r="AH44" i="5"/>
  <c r="AH43" i="5"/>
  <c r="AH42" i="5"/>
  <c r="AH41" i="5"/>
  <c r="AG37" i="5"/>
  <c r="AX37" i="5" s="1"/>
  <c r="AG36" i="5"/>
  <c r="AX36" i="5" s="1"/>
  <c r="AG34" i="5"/>
  <c r="AX34" i="5" s="1"/>
  <c r="AH65" i="6"/>
  <c r="AH64" i="6"/>
  <c r="AH63" i="6"/>
  <c r="AH60" i="6"/>
  <c r="AH59" i="6"/>
  <c r="AH58" i="6"/>
  <c r="AH57" i="6"/>
  <c r="AH56" i="6"/>
  <c r="AH55" i="6"/>
  <c r="AH54" i="6"/>
  <c r="AH50" i="6"/>
  <c r="AH49" i="6"/>
  <c r="AH48" i="6"/>
  <c r="AH47" i="6"/>
  <c r="U46" i="6"/>
  <c r="AH45" i="6"/>
  <c r="AH44" i="6"/>
  <c r="AH43" i="6"/>
  <c r="AH42" i="6"/>
  <c r="AH41" i="6"/>
  <c r="AG38" i="6"/>
  <c r="AX38" i="6" s="1"/>
  <c r="AG37" i="6"/>
  <c r="AX37" i="6" s="1"/>
  <c r="AG36" i="6"/>
  <c r="AX36" i="6" s="1"/>
  <c r="AH34" i="6"/>
  <c r="AH65" i="14"/>
  <c r="AH64" i="14"/>
  <c r="AH63" i="14"/>
  <c r="AH60" i="14"/>
  <c r="AH59" i="14"/>
  <c r="AH58" i="14"/>
  <c r="AH57" i="14"/>
  <c r="AH56" i="14"/>
  <c r="AH55" i="14"/>
  <c r="AH54" i="14"/>
  <c r="AH50" i="14"/>
  <c r="AH49" i="14"/>
  <c r="AH48" i="14"/>
  <c r="AH47" i="14"/>
  <c r="Y46" i="14"/>
  <c r="X46" i="14"/>
  <c r="U46" i="14"/>
  <c r="AH45" i="14"/>
  <c r="AH44" i="14"/>
  <c r="AH43" i="14"/>
  <c r="AH42" i="14"/>
  <c r="AH41" i="14"/>
  <c r="AG37" i="14"/>
  <c r="AX37" i="14" s="1"/>
  <c r="AG36" i="14"/>
  <c r="AX36" i="14" s="1"/>
  <c r="AG34" i="14"/>
  <c r="AX34" i="14" s="1"/>
  <c r="AH65" i="7"/>
  <c r="AH64" i="7"/>
  <c r="AH63" i="7"/>
  <c r="AH60" i="7"/>
  <c r="AH59" i="7"/>
  <c r="AH58" i="7"/>
  <c r="AH57" i="7"/>
  <c r="AH56" i="7"/>
  <c r="AH55" i="7"/>
  <c r="AH54" i="7"/>
  <c r="AH50" i="7"/>
  <c r="AH49" i="7"/>
  <c r="AH47" i="7"/>
  <c r="V46" i="7"/>
  <c r="V48" i="22" s="1"/>
  <c r="U46" i="7"/>
  <c r="AH45" i="7"/>
  <c r="AH44" i="7"/>
  <c r="AH43" i="7"/>
  <c r="AH42" i="7"/>
  <c r="AH38" i="7"/>
  <c r="AH37" i="7"/>
  <c r="AG36" i="7"/>
  <c r="AX36" i="7" s="1"/>
  <c r="AG34" i="7"/>
  <c r="AX34" i="7" s="1"/>
  <c r="AH65" i="9"/>
  <c r="AH64" i="9"/>
  <c r="AH63" i="9"/>
  <c r="AH60" i="9"/>
  <c r="AH59" i="9"/>
  <c r="AH58" i="9"/>
  <c r="AH57" i="9"/>
  <c r="AH56" i="9"/>
  <c r="AH55" i="9"/>
  <c r="AH54" i="9"/>
  <c r="AH50" i="9"/>
  <c r="AH49" i="9"/>
  <c r="AH48" i="9"/>
  <c r="AH47" i="9"/>
  <c r="Y46" i="9"/>
  <c r="X46" i="9"/>
  <c r="V46" i="9"/>
  <c r="U46" i="9"/>
  <c r="AH45" i="9"/>
  <c r="AH44" i="9"/>
  <c r="AH43" i="9"/>
  <c r="AH42" i="9"/>
  <c r="AH41" i="9"/>
  <c r="AG38" i="9"/>
  <c r="AX38" i="9" s="1"/>
  <c r="AG37" i="9"/>
  <c r="AX37" i="9" s="1"/>
  <c r="AG36" i="9"/>
  <c r="AX36" i="9" s="1"/>
  <c r="AG34" i="9"/>
  <c r="AX34" i="9" s="1"/>
  <c r="AH65" i="10"/>
  <c r="AH64" i="10"/>
  <c r="AH63" i="10"/>
  <c r="AH60" i="10"/>
  <c r="AH59" i="10"/>
  <c r="AH58" i="10"/>
  <c r="AH57" i="10"/>
  <c r="AH56" i="10"/>
  <c r="AH55" i="10"/>
  <c r="AH54" i="10"/>
  <c r="AH50" i="10"/>
  <c r="AH49" i="10"/>
  <c r="AH48" i="10"/>
  <c r="AH47" i="10"/>
  <c r="U46" i="10"/>
  <c r="AH45" i="10"/>
  <c r="AH44" i="10"/>
  <c r="AH43" i="10"/>
  <c r="AH42" i="10"/>
  <c r="AH41" i="10"/>
  <c r="AH38" i="10"/>
  <c r="AH37" i="10"/>
  <c r="AG36" i="10"/>
  <c r="AX36" i="10" s="1"/>
  <c r="AG34" i="10"/>
  <c r="AX34" i="10" s="1"/>
  <c r="AH65" i="11"/>
  <c r="AH64" i="11"/>
  <c r="AH63" i="11"/>
  <c r="AH60" i="11"/>
  <c r="AH59" i="11"/>
  <c r="AH58" i="11"/>
  <c r="AH57" i="11"/>
  <c r="AH56" i="11"/>
  <c r="AH55" i="11"/>
  <c r="AH50" i="11"/>
  <c r="AH49" i="11"/>
  <c r="AH48" i="11"/>
  <c r="AH47" i="11"/>
  <c r="U46" i="11"/>
  <c r="AH45" i="11"/>
  <c r="AH44" i="11"/>
  <c r="AH43" i="11"/>
  <c r="AH42" i="11"/>
  <c r="AH41" i="11"/>
  <c r="AH38" i="11"/>
  <c r="AG37" i="11"/>
  <c r="AX37" i="11" s="1"/>
  <c r="AG36" i="11"/>
  <c r="AX36" i="11" s="1"/>
  <c r="AG34" i="11"/>
  <c r="AX34" i="11" s="1"/>
  <c r="AH65" i="12"/>
  <c r="AH64" i="12"/>
  <c r="AH60" i="12"/>
  <c r="AH59" i="12"/>
  <c r="AH58" i="12"/>
  <c r="AH57" i="12"/>
  <c r="AH56" i="12"/>
  <c r="AH55" i="12"/>
  <c r="AH54" i="12"/>
  <c r="AH50" i="12"/>
  <c r="AI51" i="12" s="1"/>
  <c r="AH49" i="12"/>
  <c r="AH48" i="12"/>
  <c r="AH47" i="12"/>
  <c r="U46" i="12"/>
  <c r="AH45" i="12"/>
  <c r="AH44" i="12"/>
  <c r="AH43" i="12"/>
  <c r="AH42" i="12"/>
  <c r="AH41" i="12"/>
  <c r="AG38" i="12"/>
  <c r="AX38" i="12" s="1"/>
  <c r="AG37" i="12"/>
  <c r="AX37" i="12" s="1"/>
  <c r="AG36" i="12"/>
  <c r="AX36" i="12" s="1"/>
  <c r="AG34" i="12"/>
  <c r="AX34" i="12" s="1"/>
  <c r="AH64" i="13"/>
  <c r="AH63" i="13"/>
  <c r="AH60" i="13"/>
  <c r="AH59" i="13"/>
  <c r="AH58" i="13"/>
  <c r="AH57" i="13"/>
  <c r="AH56" i="13"/>
  <c r="AH55" i="13"/>
  <c r="AH54" i="13"/>
  <c r="AH50" i="13"/>
  <c r="AH49" i="13"/>
  <c r="AH48" i="13"/>
  <c r="AH47" i="13"/>
  <c r="U46" i="13"/>
  <c r="AH45" i="13"/>
  <c r="AH44" i="13"/>
  <c r="AH43" i="13"/>
  <c r="AH42" i="13"/>
  <c r="AH41" i="13"/>
  <c r="AH38" i="13"/>
  <c r="AG37" i="13"/>
  <c r="AX37" i="13" s="1"/>
  <c r="AG36" i="13"/>
  <c r="AX36" i="13" s="1"/>
  <c r="AG34" i="13"/>
  <c r="AX34" i="13" s="1"/>
  <c r="AH65" i="15"/>
  <c r="AH64" i="15"/>
  <c r="AH63" i="15"/>
  <c r="AH60" i="15"/>
  <c r="AH59" i="15"/>
  <c r="AH58" i="15"/>
  <c r="AH57" i="15"/>
  <c r="AH56" i="15"/>
  <c r="AH55" i="15"/>
  <c r="AH54" i="15"/>
  <c r="AH50" i="15"/>
  <c r="AH49" i="15"/>
  <c r="AH48" i="15"/>
  <c r="AH47" i="15"/>
  <c r="U46" i="15"/>
  <c r="AH45" i="15"/>
  <c r="AH44" i="15"/>
  <c r="AH43" i="15"/>
  <c r="AH42" i="15"/>
  <c r="AH41" i="15"/>
  <c r="AG38" i="15"/>
  <c r="AX38" i="15" s="1"/>
  <c r="AG37" i="15"/>
  <c r="AX37" i="15" s="1"/>
  <c r="AG36" i="15"/>
  <c r="AX36" i="15" s="1"/>
  <c r="AG34" i="15"/>
  <c r="AX34" i="15" s="1"/>
  <c r="AH65" i="16"/>
  <c r="AH64" i="16"/>
  <c r="AH63" i="16"/>
  <c r="AH60" i="16"/>
  <c r="AH59" i="16"/>
  <c r="AH58" i="16"/>
  <c r="AH57" i="16"/>
  <c r="AH56" i="16"/>
  <c r="AH55" i="16"/>
  <c r="AH54" i="16"/>
  <c r="AH50" i="16"/>
  <c r="AH49" i="16"/>
  <c r="AH48" i="16"/>
  <c r="AH47" i="16"/>
  <c r="U46" i="16"/>
  <c r="AH45" i="16"/>
  <c r="AH44" i="16"/>
  <c r="AH43" i="16"/>
  <c r="AH42" i="16"/>
  <c r="AH41" i="16"/>
  <c r="AH38" i="16"/>
  <c r="AH37" i="16"/>
  <c r="AG36" i="16"/>
  <c r="AX36" i="16" s="1"/>
  <c r="AG34" i="16"/>
  <c r="AX34" i="16" s="1"/>
  <c r="AH60" i="17"/>
  <c r="AH59" i="17"/>
  <c r="AH58" i="17"/>
  <c r="AH57" i="17"/>
  <c r="AH56" i="17"/>
  <c r="AH55" i="17"/>
  <c r="AH54" i="17"/>
  <c r="AH50" i="17"/>
  <c r="AH49" i="17"/>
  <c r="AH48" i="17"/>
  <c r="AH47" i="17"/>
  <c r="U46" i="17"/>
  <c r="AH45" i="17"/>
  <c r="AH44" i="17"/>
  <c r="AH43" i="17"/>
  <c r="AH42" i="17"/>
  <c r="AH41" i="17"/>
  <c r="AH38" i="17"/>
  <c r="AH37" i="17"/>
  <c r="AG36" i="17"/>
  <c r="AX36" i="17" s="1"/>
  <c r="AG34" i="17"/>
  <c r="AX34" i="17" s="1"/>
  <c r="AH64" i="18"/>
  <c r="AH63" i="18"/>
  <c r="AH60" i="18"/>
  <c r="AH59" i="18"/>
  <c r="AH58" i="18"/>
  <c r="AH57" i="18"/>
  <c r="AH56" i="18"/>
  <c r="AH55" i="18"/>
  <c r="AH54" i="18"/>
  <c r="AH50" i="18"/>
  <c r="AH49" i="18"/>
  <c r="AH48" i="18"/>
  <c r="AH47" i="18"/>
  <c r="U46" i="18"/>
  <c r="AH45" i="18"/>
  <c r="AH44" i="18"/>
  <c r="AH43" i="18"/>
  <c r="AH42" i="18"/>
  <c r="AH41" i="18"/>
  <c r="AH38" i="18"/>
  <c r="AI39" i="18" s="1"/>
  <c r="AH37" i="18"/>
  <c r="AG36" i="18"/>
  <c r="AX36" i="18" s="1"/>
  <c r="AG34" i="18"/>
  <c r="AX34" i="18" s="1"/>
  <c r="H34" i="18"/>
  <c r="AH65" i="19"/>
  <c r="AH64" i="19"/>
  <c r="AH60" i="19"/>
  <c r="AH59" i="19"/>
  <c r="AH58" i="19"/>
  <c r="AH57" i="19"/>
  <c r="AH56" i="19"/>
  <c r="AH55" i="19"/>
  <c r="AH50" i="19"/>
  <c r="AH49" i="19"/>
  <c r="AH48" i="19"/>
  <c r="AH47" i="19"/>
  <c r="U46" i="19"/>
  <c r="AH45" i="19"/>
  <c r="AH44" i="19"/>
  <c r="AH43" i="19"/>
  <c r="AH42" i="19"/>
  <c r="AH41" i="19"/>
  <c r="AH38" i="19"/>
  <c r="AH37" i="19"/>
  <c r="AG36" i="19"/>
  <c r="AX36" i="19" s="1"/>
  <c r="AG34" i="19"/>
  <c r="AX34" i="19" s="1"/>
  <c r="H34" i="19"/>
  <c r="AH65" i="2"/>
  <c r="AH64" i="2"/>
  <c r="AH63" i="2"/>
  <c r="AH60" i="2"/>
  <c r="AG59" i="2"/>
  <c r="AX59" i="2" s="1"/>
  <c r="AG58" i="2"/>
  <c r="AX58" i="2" s="1"/>
  <c r="AG57" i="2"/>
  <c r="AX57" i="2" s="1"/>
  <c r="AG56" i="2"/>
  <c r="AX56" i="2" s="1"/>
  <c r="AG55" i="2"/>
  <c r="AX55" i="2" s="1"/>
  <c r="AG54" i="2"/>
  <c r="AX54" i="2" s="1"/>
  <c r="AG50" i="2"/>
  <c r="AX50" i="2" s="1"/>
  <c r="AG49" i="2"/>
  <c r="AX49" i="2" s="1"/>
  <c r="AG48" i="2"/>
  <c r="AX48" i="2" s="1"/>
  <c r="AG47" i="2"/>
  <c r="AX47" i="2" s="1"/>
  <c r="U46" i="2"/>
  <c r="AG45" i="2"/>
  <c r="AX45" i="2" s="1"/>
  <c r="AG44" i="2"/>
  <c r="AX44" i="2" s="1"/>
  <c r="AG43" i="2"/>
  <c r="AX43" i="2" s="1"/>
  <c r="AG42" i="2"/>
  <c r="AX42" i="2" s="1"/>
  <c r="AG41" i="2"/>
  <c r="AX41" i="2" s="1"/>
  <c r="AG38" i="2"/>
  <c r="AX38" i="2" s="1"/>
  <c r="AG37" i="2"/>
  <c r="AX37" i="2" s="1"/>
  <c r="AG36" i="2"/>
  <c r="AX36" i="2" s="1"/>
  <c r="AG34" i="2"/>
  <c r="AX34" i="2" s="1"/>
  <c r="U48" i="22" l="1"/>
  <c r="Y48" i="22"/>
  <c r="AY39" i="12"/>
  <c r="AZ39" i="12" s="1"/>
  <c r="BA39" i="12" s="1"/>
  <c r="AZ38" i="12"/>
  <c r="BA38" i="12" s="1"/>
  <c r="AY35" i="9"/>
  <c r="AZ36" i="9" s="1"/>
  <c r="BA36" i="9" s="1"/>
  <c r="AZ35" i="9"/>
  <c r="BA35" i="9" s="1"/>
  <c r="AY38" i="3"/>
  <c r="BA39" i="3" s="1"/>
  <c r="BB39" i="3" s="1"/>
  <c r="BA38" i="3"/>
  <c r="BB38" i="3" s="1"/>
  <c r="AY35" i="15"/>
  <c r="BA35" i="15" s="1"/>
  <c r="BB35" i="15" s="1"/>
  <c r="AY34" i="13"/>
  <c r="AZ36" i="13" s="1"/>
  <c r="BA36" i="13" s="1"/>
  <c r="AY34" i="12"/>
  <c r="AZ36" i="12" s="1"/>
  <c r="AY34" i="11"/>
  <c r="AZ36" i="11" s="1"/>
  <c r="BA36" i="11" s="1"/>
  <c r="AY38" i="4"/>
  <c r="AZ40" i="4" s="1"/>
  <c r="BA40" i="4" s="1"/>
  <c r="AY34" i="3"/>
  <c r="AZ36" i="3" s="1"/>
  <c r="BA36" i="3" s="1"/>
  <c r="U85" i="22"/>
  <c r="U87" i="22" s="1"/>
  <c r="V85" i="22"/>
  <c r="V87" i="22" s="1"/>
  <c r="X85" i="22"/>
  <c r="X87" i="22" s="1"/>
  <c r="Y85" i="22"/>
  <c r="Y87" i="22" s="1"/>
  <c r="AY38" i="6"/>
  <c r="AZ40" i="6" s="1"/>
  <c r="BA40" i="6" s="1"/>
  <c r="AY34" i="4"/>
  <c r="AZ36" i="4" s="1"/>
  <c r="BA36" i="4" s="1"/>
  <c r="AG46" i="2"/>
  <c r="AX46" i="2" s="1"/>
  <c r="AX83" i="2" s="1"/>
  <c r="AG46" i="7"/>
  <c r="AX46" i="7" s="1"/>
  <c r="AX83" i="7" s="1"/>
  <c r="AG46" i="6"/>
  <c r="AX46" i="6" s="1"/>
  <c r="AX83" i="6" s="1"/>
  <c r="AG46" i="5"/>
  <c r="AX46" i="5" s="1"/>
  <c r="AX83" i="5" s="1"/>
  <c r="AG46" i="18"/>
  <c r="AX46" i="18" s="1"/>
  <c r="AX83" i="18" s="1"/>
  <c r="AG46" i="10"/>
  <c r="AX46" i="10" s="1"/>
  <c r="AX83" i="10" s="1"/>
  <c r="AG46" i="19"/>
  <c r="AX46" i="19" s="1"/>
  <c r="AX83" i="19" s="1"/>
  <c r="AG46" i="11"/>
  <c r="AX46" i="11" s="1"/>
  <c r="AX83" i="11" s="1"/>
  <c r="AG46" i="3"/>
  <c r="AX46" i="3" s="1"/>
  <c r="AX83" i="3" s="1"/>
  <c r="AG46" i="14"/>
  <c r="AX46" i="14" s="1"/>
  <c r="AX83" i="14" s="1"/>
  <c r="AG46" i="17"/>
  <c r="AX46" i="17" s="1"/>
  <c r="AG46" i="9"/>
  <c r="AX46" i="9" s="1"/>
  <c r="AX83" i="9" s="1"/>
  <c r="AG46" i="16"/>
  <c r="AX46" i="16" s="1"/>
  <c r="AX83" i="16" s="1"/>
  <c r="AG46" i="12"/>
  <c r="AX46" i="12" s="1"/>
  <c r="AX83" i="12" s="1"/>
  <c r="AG46" i="4"/>
  <c r="AX46" i="4" s="1"/>
  <c r="AX83" i="4" s="1"/>
  <c r="AG46" i="15"/>
  <c r="AX46" i="15" s="1"/>
  <c r="AX83" i="15" s="1"/>
  <c r="AG46" i="13"/>
  <c r="AX46" i="13" s="1"/>
  <c r="AX83" i="13" s="1"/>
  <c r="AH36" i="13"/>
  <c r="AH36" i="18"/>
  <c r="AH34" i="9"/>
  <c r="AI35" i="9" s="1"/>
  <c r="AH48" i="2"/>
  <c r="AH56" i="2"/>
  <c r="AH58" i="2"/>
  <c r="AH59" i="2"/>
  <c r="AH34" i="18"/>
  <c r="AH34" i="14"/>
  <c r="AH34" i="11"/>
  <c r="AI35" i="11" s="1"/>
  <c r="AH34" i="13"/>
  <c r="AH34" i="5"/>
  <c r="AH34" i="19"/>
  <c r="AH34" i="15"/>
  <c r="AH34" i="10"/>
  <c r="AH38" i="6"/>
  <c r="AH36" i="5"/>
  <c r="AH38" i="5"/>
  <c r="AH43" i="2"/>
  <c r="AH36" i="16"/>
  <c r="AH38" i="4"/>
  <c r="AH36" i="15"/>
  <c r="AH34" i="2"/>
  <c r="AH37" i="12"/>
  <c r="AH37" i="6"/>
  <c r="AH37" i="4"/>
  <c r="AH38" i="3"/>
  <c r="AI39" i="3" s="1"/>
  <c r="AH54" i="2"/>
  <c r="AH55" i="2"/>
  <c r="AH34" i="17"/>
  <c r="AH34" i="16"/>
  <c r="AH38" i="12"/>
  <c r="AH37" i="9"/>
  <c r="AH34" i="7"/>
  <c r="AI35" i="7" s="1"/>
  <c r="AH34" i="3"/>
  <c r="AH49" i="2"/>
  <c r="AH38" i="14"/>
  <c r="AH41" i="2"/>
  <c r="AH37" i="15"/>
  <c r="AH42" i="2"/>
  <c r="AH44" i="2"/>
  <c r="AH38" i="15"/>
  <c r="AH36" i="1"/>
  <c r="AH45" i="2"/>
  <c r="AH36" i="9"/>
  <c r="AH36" i="2"/>
  <c r="AH57" i="2"/>
  <c r="AH36" i="4"/>
  <c r="AH36" i="7"/>
  <c r="AH37" i="2"/>
  <c r="AH47" i="2"/>
  <c r="AH36" i="19"/>
  <c r="AH36" i="12"/>
  <c r="AH37" i="11"/>
  <c r="AH36" i="10"/>
  <c r="AH38" i="9"/>
  <c r="AH36" i="14"/>
  <c r="AH36" i="6"/>
  <c r="AH36" i="3"/>
  <c r="AH36" i="11"/>
  <c r="AH37" i="5"/>
  <c r="AH37" i="3"/>
  <c r="AH38" i="2"/>
  <c r="AH36" i="17"/>
  <c r="AH37" i="13"/>
  <c r="AH34" i="12"/>
  <c r="AI35" i="12" s="1"/>
  <c r="AH37" i="14"/>
  <c r="AH34" i="4"/>
  <c r="AH34" i="1"/>
  <c r="AZ35" i="11" l="1"/>
  <c r="BA35" i="11" s="1"/>
  <c r="AZ39" i="4"/>
  <c r="BA39" i="4" s="1"/>
  <c r="BA34" i="15"/>
  <c r="BB34" i="15" s="1"/>
  <c r="AZ35" i="13"/>
  <c r="BA35" i="13" s="1"/>
  <c r="BB36" i="12"/>
  <c r="BA36" i="12"/>
  <c r="AZ35" i="12"/>
  <c r="AZ35" i="4"/>
  <c r="BA35" i="4" s="1"/>
  <c r="AZ35" i="3"/>
  <c r="BA35" i="3" s="1"/>
  <c r="AG48" i="22"/>
  <c r="AH48" i="22" s="1"/>
  <c r="AH46" i="2"/>
  <c r="AZ39" i="6"/>
  <c r="BA39" i="6" s="1"/>
  <c r="AH46" i="19"/>
  <c r="AH46" i="14"/>
  <c r="AH46" i="9"/>
  <c r="AH46" i="4"/>
  <c r="AH46" i="10"/>
  <c r="AH46" i="5"/>
  <c r="AH46" i="15"/>
  <c r="AH46" i="13"/>
  <c r="AH46" i="7"/>
  <c r="AH46" i="3"/>
  <c r="AH46" i="12"/>
  <c r="AH46" i="6"/>
  <c r="AH46" i="17"/>
  <c r="AH46" i="11"/>
  <c r="AH46" i="16"/>
  <c r="AH46" i="18"/>
  <c r="AX48" i="22" l="1"/>
  <c r="AX85" i="22" s="1"/>
  <c r="BB35" i="12"/>
  <c r="BA35" i="12"/>
  <c r="V25" i="20"/>
  <c r="W25" i="20"/>
  <c r="X25" i="20"/>
  <c r="Y25" i="20"/>
  <c r="Z25" i="20"/>
  <c r="AA25" i="20"/>
  <c r="AB25" i="20"/>
  <c r="AC25" i="20"/>
  <c r="AD25" i="20"/>
  <c r="AE25" i="20"/>
  <c r="AF25" i="20"/>
  <c r="U25" i="20"/>
  <c r="D17" i="19" l="1"/>
  <c r="D16" i="19"/>
  <c r="D24" i="19"/>
  <c r="D21" i="19"/>
  <c r="H17" i="19"/>
  <c r="H19" i="19"/>
  <c r="H20" i="19"/>
  <c r="H21" i="19"/>
  <c r="H24" i="19"/>
  <c r="H16" i="19"/>
  <c r="D26" i="18"/>
  <c r="D25" i="18"/>
  <c r="D26" i="22" s="1"/>
  <c r="D24" i="18"/>
  <c r="D21" i="18"/>
  <c r="D20" i="18"/>
  <c r="D19" i="18"/>
  <c r="D18" i="18"/>
  <c r="D18" i="22" s="1"/>
  <c r="D16" i="18"/>
  <c r="AG25" i="20"/>
  <c r="H25" i="20"/>
  <c r="D25" i="20"/>
  <c r="AG24" i="20"/>
  <c r="AH24" i="20" s="1"/>
  <c r="AG23" i="20"/>
  <c r="AH23" i="20" s="1"/>
  <c r="AG22" i="20"/>
  <c r="AH22" i="20" s="1"/>
  <c r="AG21" i="20"/>
  <c r="AH21" i="20" s="1"/>
  <c r="AG20" i="20"/>
  <c r="AH20" i="20" s="1"/>
  <c r="AG19" i="20"/>
  <c r="AH19" i="20" s="1"/>
  <c r="AG18" i="20"/>
  <c r="AH18" i="20" s="1"/>
  <c r="AG17" i="20"/>
  <c r="AH17" i="20" s="1"/>
  <c r="AG16" i="20"/>
  <c r="AH16" i="20" s="1"/>
  <c r="AG24" i="19"/>
  <c r="AG21" i="19"/>
  <c r="AG20" i="19"/>
  <c r="AG19" i="19"/>
  <c r="AG18" i="19"/>
  <c r="AG17" i="19"/>
  <c r="AG16" i="19"/>
  <c r="AG26" i="18"/>
  <c r="AG25" i="18"/>
  <c r="AG24" i="18"/>
  <c r="AG21" i="18"/>
  <c r="AG18" i="18"/>
  <c r="AG17" i="18"/>
  <c r="AG26" i="17"/>
  <c r="AG25" i="17"/>
  <c r="AG24" i="17"/>
  <c r="AG21" i="17"/>
  <c r="AG20" i="17"/>
  <c r="AG19" i="17"/>
  <c r="AG18" i="17"/>
  <c r="AG17" i="17"/>
  <c r="AG16" i="17"/>
  <c r="AG21" i="16"/>
  <c r="AG20" i="16"/>
  <c r="AG19" i="16"/>
  <c r="AG18" i="16"/>
  <c r="AG17" i="16"/>
  <c r="AG16" i="16"/>
  <c r="AG26" i="15"/>
  <c r="AG25" i="15"/>
  <c r="AG24" i="15"/>
  <c r="AG21" i="15"/>
  <c r="AG20" i="15"/>
  <c r="AG19" i="15"/>
  <c r="AG18" i="15"/>
  <c r="AG17" i="15"/>
  <c r="AG16" i="15"/>
  <c r="AG26" i="14"/>
  <c r="AH26" i="14" s="1"/>
  <c r="AG25" i="14"/>
  <c r="AH25" i="14" s="1"/>
  <c r="AG24" i="14"/>
  <c r="AH24" i="14" s="1"/>
  <c r="AG21" i="14"/>
  <c r="AH21" i="14" s="1"/>
  <c r="AG20" i="14"/>
  <c r="AH20" i="14" s="1"/>
  <c r="AG19" i="14"/>
  <c r="AH19" i="14" s="1"/>
  <c r="AG18" i="14"/>
  <c r="AH18" i="14" s="1"/>
  <c r="AG17" i="14"/>
  <c r="AH17" i="14" s="1"/>
  <c r="AG16" i="14"/>
  <c r="AH16" i="14" s="1"/>
  <c r="AG26" i="13"/>
  <c r="AG25" i="13"/>
  <c r="AG24" i="13"/>
  <c r="AG21" i="13"/>
  <c r="AG20" i="13"/>
  <c r="AG19" i="13"/>
  <c r="AG18" i="13"/>
  <c r="AG17" i="13"/>
  <c r="AG16" i="13"/>
  <c r="AG26" i="12"/>
  <c r="AG25" i="12"/>
  <c r="AG24" i="12"/>
  <c r="AG20" i="12"/>
  <c r="AG19" i="12"/>
  <c r="AG18" i="12"/>
  <c r="AG17" i="12"/>
  <c r="AG16" i="12"/>
  <c r="AG26" i="11"/>
  <c r="AG25" i="11"/>
  <c r="AG24" i="11"/>
  <c r="AG21" i="11"/>
  <c r="AG20" i="11"/>
  <c r="AG19" i="11"/>
  <c r="AG18" i="11"/>
  <c r="AG17" i="11"/>
  <c r="AG16" i="11"/>
  <c r="AG26" i="10"/>
  <c r="AG25" i="10"/>
  <c r="AG24" i="10"/>
  <c r="AG21" i="10"/>
  <c r="AG20" i="10"/>
  <c r="AG19" i="10"/>
  <c r="AG18" i="10"/>
  <c r="AG17" i="10"/>
  <c r="AG26" i="9"/>
  <c r="AG25" i="9"/>
  <c r="AG24" i="9"/>
  <c r="AG21" i="9"/>
  <c r="AG20" i="9"/>
  <c r="AG19" i="9"/>
  <c r="AG18" i="9"/>
  <c r="AG17" i="9"/>
  <c r="AG16" i="9"/>
  <c r="AG26" i="7"/>
  <c r="AG25" i="7"/>
  <c r="AG24" i="7"/>
  <c r="AG21" i="7"/>
  <c r="AG20" i="7"/>
  <c r="AG19" i="7"/>
  <c r="AG18" i="7"/>
  <c r="AG17" i="7"/>
  <c r="AG16" i="7"/>
  <c r="AG26" i="6"/>
  <c r="AG25" i="6"/>
  <c r="AG24" i="6"/>
  <c r="AG21" i="6"/>
  <c r="AG20" i="6"/>
  <c r="AG19" i="6"/>
  <c r="AG18" i="6"/>
  <c r="AG17" i="6"/>
  <c r="AG16" i="6"/>
  <c r="AG26" i="5"/>
  <c r="AG25" i="5"/>
  <c r="AG24" i="5"/>
  <c r="AG21" i="5"/>
  <c r="AG20" i="5"/>
  <c r="AG19" i="5"/>
  <c r="AG18" i="5"/>
  <c r="AG17" i="5"/>
  <c r="AG16" i="5"/>
  <c r="AG26" i="4"/>
  <c r="AG25" i="4"/>
  <c r="AG24" i="4"/>
  <c r="AG21" i="4"/>
  <c r="AG19" i="4"/>
  <c r="AH19" i="4" s="1"/>
  <c r="AG18" i="4"/>
  <c r="AH18" i="4" s="1"/>
  <c r="AG17" i="4"/>
  <c r="AG16" i="4"/>
  <c r="AG26" i="3"/>
  <c r="AH26" i="3" s="1"/>
  <c r="AG25" i="3"/>
  <c r="AG24" i="3"/>
  <c r="AG21" i="3"/>
  <c r="AG20" i="3"/>
  <c r="AH20" i="3" s="1"/>
  <c r="AG19" i="3"/>
  <c r="AG18" i="3"/>
  <c r="AG17" i="3"/>
  <c r="AG16" i="3"/>
  <c r="AG26" i="2"/>
  <c r="AG25" i="2"/>
  <c r="AG24" i="2"/>
  <c r="AG21" i="2"/>
  <c r="AG20" i="2"/>
  <c r="AG19" i="2"/>
  <c r="AG18" i="2"/>
  <c r="AG17" i="2"/>
  <c r="AG16" i="2"/>
  <c r="AG17" i="1"/>
  <c r="AG18" i="1"/>
  <c r="AG19" i="1"/>
  <c r="AG20" i="1"/>
  <c r="AG21" i="1"/>
  <c r="AG24" i="1"/>
  <c r="AG25" i="1"/>
  <c r="AG26" i="1"/>
  <c r="AG16" i="1"/>
  <c r="D25" i="22" l="1"/>
  <c r="H30" i="19"/>
  <c r="AH17" i="18"/>
  <c r="H30" i="18"/>
  <c r="AH16" i="2"/>
  <c r="AH18" i="15"/>
  <c r="AH18" i="5"/>
  <c r="AH24" i="5"/>
  <c r="AH19" i="16"/>
  <c r="AH19" i="6"/>
  <c r="AH25" i="6"/>
  <c r="AH19" i="13"/>
  <c r="AH25" i="13"/>
  <c r="AH17" i="13"/>
  <c r="AH17" i="9"/>
  <c r="D21" i="22"/>
  <c r="D27" i="22"/>
  <c r="D22" i="22"/>
  <c r="AH25" i="10"/>
  <c r="AH16" i="15"/>
  <c r="AH16" i="17"/>
  <c r="AH26" i="1"/>
  <c r="AH20" i="1"/>
  <c r="AH16" i="11"/>
  <c r="AH17" i="7"/>
  <c r="AH17" i="12"/>
  <c r="D30" i="18"/>
  <c r="D85" i="18" s="1"/>
  <c r="D19" i="19"/>
  <c r="D30" i="19" s="1"/>
  <c r="AH18" i="2"/>
  <c r="AH24" i="4"/>
  <c r="AH18" i="11"/>
  <c r="AH24" i="11"/>
  <c r="AH25" i="1"/>
  <c r="AH19" i="1"/>
  <c r="AH24" i="19"/>
  <c r="AH30" i="14"/>
  <c r="AH19" i="18"/>
  <c r="AH25" i="18"/>
  <c r="AH20" i="17"/>
  <c r="AH26" i="17"/>
  <c r="AH19" i="7"/>
  <c r="AH25" i="7"/>
  <c r="AH17" i="6"/>
  <c r="AH18" i="3"/>
  <c r="AH24" i="3"/>
  <c r="AH19" i="2"/>
  <c r="AH25" i="2"/>
  <c r="AH20" i="19"/>
  <c r="AH18" i="19"/>
  <c r="AH26" i="18"/>
  <c r="AH20" i="18"/>
  <c r="AH26" i="11"/>
  <c r="AH17" i="2"/>
  <c r="AH18" i="1"/>
  <c r="AH25" i="4"/>
  <c r="AH21" i="5"/>
  <c r="AH24" i="6"/>
  <c r="AH26" i="7"/>
  <c r="AH17" i="11"/>
  <c r="AH18" i="16"/>
  <c r="AH18" i="18"/>
  <c r="AH24" i="18"/>
  <c r="AH26" i="2"/>
  <c r="AH16" i="4"/>
  <c r="AH19" i="9"/>
  <c r="AH25" i="9"/>
  <c r="AH21" i="10"/>
  <c r="AH24" i="1"/>
  <c r="AH16" i="9"/>
  <c r="AH20" i="9"/>
  <c r="AH26" i="9"/>
  <c r="AH18" i="10"/>
  <c r="AH24" i="10"/>
  <c r="AH19" i="12"/>
  <c r="AH25" i="12"/>
  <c r="AH16" i="16"/>
  <c r="AH18" i="17"/>
  <c r="AH24" i="17"/>
  <c r="AH17" i="19"/>
  <c r="AH24" i="2"/>
  <c r="AH17" i="5"/>
  <c r="AH18" i="6"/>
  <c r="AH20" i="7"/>
  <c r="AH17" i="15"/>
  <c r="AH25" i="20"/>
  <c r="AH21" i="1"/>
  <c r="AH17" i="4"/>
  <c r="AH16" i="7"/>
  <c r="AH16" i="12"/>
  <c r="AH16" i="13"/>
  <c r="AH19" i="15"/>
  <c r="AH25" i="15"/>
  <c r="AH16" i="1"/>
  <c r="AH18" i="9"/>
  <c r="AH20" i="16"/>
  <c r="AH17" i="17"/>
  <c r="AH17" i="1"/>
  <c r="AH18" i="12"/>
  <c r="AH18" i="13"/>
  <c r="AH17" i="16"/>
  <c r="AH20" i="11"/>
  <c r="AH16" i="19"/>
  <c r="AH21" i="19"/>
  <c r="AH19" i="19"/>
  <c r="AH21" i="18"/>
  <c r="AH21" i="17"/>
  <c r="AH19" i="17"/>
  <c r="AH25" i="17"/>
  <c r="AH21" i="16"/>
  <c r="AH24" i="15"/>
  <c r="AH20" i="15"/>
  <c r="AH26" i="15"/>
  <c r="AH21" i="15"/>
  <c r="AH24" i="13"/>
  <c r="AH20" i="13"/>
  <c r="AH26" i="13"/>
  <c r="AH21" i="13"/>
  <c r="AH24" i="12"/>
  <c r="AH20" i="12"/>
  <c r="AH26" i="12"/>
  <c r="AH21" i="11"/>
  <c r="AH19" i="11"/>
  <c r="AH25" i="11"/>
  <c r="AH19" i="10"/>
  <c r="AH17" i="10"/>
  <c r="AH16" i="10"/>
  <c r="AH20" i="10"/>
  <c r="AH26" i="10"/>
  <c r="AH24" i="9"/>
  <c r="AH21" i="9"/>
  <c r="AH18" i="7"/>
  <c r="AH24" i="7"/>
  <c r="AH21" i="7"/>
  <c r="AH21" i="6"/>
  <c r="AH16" i="6"/>
  <c r="AH20" i="6"/>
  <c r="AH26" i="6"/>
  <c r="AH16" i="5"/>
  <c r="AH19" i="5"/>
  <c r="AH25" i="5"/>
  <c r="AH20" i="5"/>
  <c r="AH26" i="5"/>
  <c r="AH26" i="4"/>
  <c r="AH21" i="4"/>
  <c r="AH17" i="3"/>
  <c r="AH16" i="3"/>
  <c r="AH21" i="3"/>
  <c r="AH19" i="3"/>
  <c r="AH25" i="3"/>
  <c r="AH21" i="2"/>
  <c r="AH20" i="2"/>
  <c r="D19" i="22" l="1"/>
  <c r="D85" i="19"/>
  <c r="AH30" i="4"/>
  <c r="AH30" i="15"/>
  <c r="AH30" i="1"/>
  <c r="AH30" i="3"/>
  <c r="AH30" i="2"/>
  <c r="AH30" i="18"/>
  <c r="H85" i="18"/>
  <c r="AH30" i="6"/>
  <c r="AH30" i="9"/>
  <c r="AH30" i="10"/>
  <c r="AH30" i="19"/>
  <c r="H85" i="19"/>
  <c r="AH30" i="12"/>
  <c r="AH30" i="5"/>
  <c r="AH30" i="7"/>
  <c r="AH30" i="11"/>
  <c r="AH30" i="16"/>
  <c r="AH30" i="17"/>
  <c r="AH30" i="13"/>
  <c r="D17" i="22"/>
  <c r="D16" i="22"/>
  <c r="D32" i="22" l="1"/>
  <c r="D87" i="22" l="1"/>
  <c r="AH67" i="5" l="1"/>
  <c r="H39" i="17" l="1"/>
  <c r="AH39" i="17" l="1"/>
  <c r="U83" i="19" l="1"/>
  <c r="U85" i="19" s="1"/>
  <c r="AD83" i="3"/>
  <c r="AD85" i="3" s="1"/>
  <c r="AA83" i="12"/>
  <c r="AA85" i="12" s="1"/>
  <c r="AD83" i="6"/>
  <c r="AD85" i="6" s="1"/>
  <c r="X83" i="5"/>
  <c r="X85" i="5" s="1"/>
  <c r="AD83" i="12"/>
  <c r="AD85" i="12" s="1"/>
  <c r="X83" i="12"/>
  <c r="X85" i="12" s="1"/>
  <c r="AA83" i="5"/>
  <c r="AA85" i="5" s="1"/>
  <c r="X83" i="19"/>
  <c r="X85" i="19" s="1"/>
  <c r="X83" i="15"/>
  <c r="X85" i="15" s="1"/>
  <c r="X83" i="3"/>
  <c r="X85" i="3" s="1"/>
  <c r="AA83" i="18"/>
  <c r="AA85" i="18" s="1"/>
  <c r="AA83" i="19"/>
  <c r="AA85" i="19" s="1"/>
  <c r="AD83" i="7"/>
  <c r="AD85" i="7" s="1"/>
  <c r="X83" i="6"/>
  <c r="X85" i="6" s="1"/>
  <c r="X83" i="10"/>
  <c r="X85" i="10" s="1"/>
  <c r="AA83" i="1"/>
  <c r="AA85" i="1" s="1"/>
  <c r="AD83" i="5"/>
  <c r="AD85" i="5" s="1"/>
  <c r="AA83" i="4"/>
  <c r="AA85" i="4" s="1"/>
  <c r="X83" i="4"/>
  <c r="X85" i="4" s="1"/>
  <c r="AD83" i="1"/>
  <c r="AD85" i="1" s="1"/>
  <c r="AD83" i="13"/>
  <c r="AD85" i="13" s="1"/>
  <c r="AA83" i="17"/>
  <c r="AA85" i="17" s="1"/>
  <c r="X83" i="17"/>
  <c r="X85" i="17" s="1"/>
  <c r="X83" i="18"/>
  <c r="X85" i="18" s="1"/>
  <c r="AD83" i="17"/>
  <c r="AD85" i="17" s="1"/>
  <c r="AA83" i="3"/>
  <c r="AA85" i="3" s="1"/>
  <c r="AA83" i="13"/>
  <c r="AA85" i="13" s="1"/>
  <c r="X83" i="11"/>
  <c r="X85" i="11" s="1"/>
  <c r="AA85" i="9"/>
  <c r="AA83" i="9"/>
  <c r="AD83" i="10"/>
  <c r="AD85" i="10" s="1"/>
  <c r="X83" i="9"/>
  <c r="X85" i="9" s="1"/>
  <c r="X83" i="1"/>
  <c r="X85" i="1" s="1"/>
  <c r="AD83" i="4"/>
  <c r="AD85" i="4" s="1"/>
  <c r="AD83" i="16"/>
  <c r="AD85" i="16" s="1"/>
  <c r="AD83" i="18"/>
  <c r="AD85" i="18" s="1"/>
  <c r="AA83" i="6"/>
  <c r="AA85" i="6" s="1"/>
  <c r="AA83" i="11"/>
  <c r="AA85" i="11" s="1"/>
  <c r="AA83" i="16"/>
  <c r="AA85" i="16" s="1"/>
  <c r="X83" i="13"/>
  <c r="X85" i="13" s="1"/>
  <c r="AD83" i="11"/>
  <c r="AD85" i="11" s="1"/>
  <c r="AA85" i="10"/>
  <c r="AD83" i="9"/>
  <c r="AD85" i="9" s="1"/>
  <c r="AA83" i="15"/>
  <c r="AA85" i="15" s="1"/>
  <c r="AD83" i="2"/>
  <c r="AD85" i="2" s="1"/>
  <c r="AA83" i="2"/>
  <c r="AA85" i="2" s="1"/>
  <c r="X83" i="2"/>
  <c r="X85" i="2" s="1"/>
  <c r="X83" i="14"/>
  <c r="X85" i="14" s="1"/>
  <c r="AD83" i="14"/>
  <c r="AD85" i="14" s="1"/>
  <c r="AG85" i="22"/>
  <c r="AG87" i="22" s="1"/>
  <c r="I85" i="22"/>
  <c r="I87" i="22" s="1"/>
  <c r="M85" i="22"/>
  <c r="M87" i="22" s="1"/>
  <c r="N85" i="22"/>
  <c r="N87" i="22" s="1"/>
  <c r="L85" i="22"/>
  <c r="L87" i="22" s="1"/>
  <c r="K85" i="22"/>
  <c r="K87" i="22" s="1"/>
  <c r="J85" i="22"/>
  <c r="J87" i="22" s="1"/>
  <c r="U83" i="5"/>
  <c r="U85" i="5" s="1"/>
  <c r="H83" i="5"/>
  <c r="H83" i="17"/>
  <c r="H83" i="18"/>
  <c r="H83" i="7"/>
  <c r="H83" i="6"/>
  <c r="H83" i="10"/>
  <c r="H83" i="15"/>
  <c r="H83" i="9"/>
  <c r="H83" i="11"/>
  <c r="H83" i="13"/>
  <c r="H83" i="16"/>
  <c r="H83" i="3"/>
  <c r="H83" i="14"/>
  <c r="H83" i="12"/>
  <c r="H83" i="4"/>
  <c r="S85" i="22"/>
  <c r="T85" i="22"/>
  <c r="H83" i="19"/>
  <c r="O87" i="22"/>
  <c r="AW83" i="16"/>
  <c r="AW83" i="1"/>
  <c r="AW83" i="11"/>
  <c r="AW83" i="15"/>
  <c r="AW85" i="15" s="1"/>
  <c r="AW83" i="6"/>
  <c r="AW83" i="2"/>
  <c r="AW83" i="13"/>
  <c r="AW83" i="7"/>
  <c r="AW83" i="18"/>
  <c r="AW83" i="3"/>
  <c r="AW83" i="5"/>
  <c r="AW83" i="12"/>
  <c r="AW83" i="10"/>
  <c r="AW83" i="19"/>
  <c r="AW85" i="19" s="1"/>
  <c r="AW83" i="4"/>
  <c r="AW87" i="4" s="1"/>
  <c r="AW85" i="22"/>
  <c r="AW83" i="14"/>
  <c r="AL83" i="1"/>
  <c r="AP83" i="1"/>
  <c r="AT83" i="1"/>
  <c r="AM85" i="22"/>
  <c r="AQ85" i="22"/>
  <c r="AU85" i="22"/>
  <c r="AN83" i="19"/>
  <c r="AR83" i="19"/>
  <c r="AV83" i="19"/>
  <c r="AO83" i="18"/>
  <c r="AL83" i="17"/>
  <c r="AP83" i="17"/>
  <c r="AT83" i="17"/>
  <c r="AM83" i="16"/>
  <c r="AQ83" i="16"/>
  <c r="AU83" i="16"/>
  <c r="AN83" i="15"/>
  <c r="AR83" i="15"/>
  <c r="AV83" i="15"/>
  <c r="AO83" i="13"/>
  <c r="AS83" i="13"/>
  <c r="AL83" i="12"/>
  <c r="AP83" i="12"/>
  <c r="AT83" i="12"/>
  <c r="AM83" i="11"/>
  <c r="AQ83" i="11"/>
  <c r="AU83" i="11"/>
  <c r="AN83" i="10"/>
  <c r="AR83" i="10"/>
  <c r="AV83" i="10"/>
  <c r="AO83" i="9"/>
  <c r="AS83" i="9"/>
  <c r="AL83" i="7"/>
  <c r="AP83" i="7"/>
  <c r="AT83" i="7"/>
  <c r="AM83" i="14"/>
  <c r="AQ83" i="14"/>
  <c r="AU83" i="14"/>
  <c r="AN83" i="6"/>
  <c r="AR83" i="6"/>
  <c r="AV83" i="6"/>
  <c r="AO83" i="5"/>
  <c r="AS83" i="5"/>
  <c r="AL83" i="4"/>
  <c r="AP83" i="4"/>
  <c r="AT83" i="4"/>
  <c r="AM83" i="3"/>
  <c r="AU83" i="3"/>
  <c r="AN83" i="2"/>
  <c r="AR83" i="2"/>
  <c r="AV83" i="2"/>
  <c r="AM83" i="1"/>
  <c r="AQ83" i="1"/>
  <c r="AU83" i="1"/>
  <c r="AN85" i="22"/>
  <c r="AR85" i="22"/>
  <c r="AV85" i="22"/>
  <c r="AO83" i="19"/>
  <c r="AS83" i="19"/>
  <c r="AL83" i="18"/>
  <c r="AP83" i="18"/>
  <c r="AT83" i="18"/>
  <c r="AM83" i="17"/>
  <c r="AQ83" i="17"/>
  <c r="AN83" i="16"/>
  <c r="AR83" i="16"/>
  <c r="AV83" i="16"/>
  <c r="AV87" i="16" s="1"/>
  <c r="AO83" i="15"/>
  <c r="AS83" i="15"/>
  <c r="AL83" i="13"/>
  <c r="AP83" i="13"/>
  <c r="AT83" i="13"/>
  <c r="AM83" i="12"/>
  <c r="AQ83" i="12"/>
  <c r="AU83" i="12"/>
  <c r="AN83" i="11"/>
  <c r="AR83" i="11"/>
  <c r="AV83" i="11"/>
  <c r="AO83" i="10"/>
  <c r="AS83" i="10"/>
  <c r="AL83" i="9"/>
  <c r="AP83" i="9"/>
  <c r="AT83" i="9"/>
  <c r="AM83" i="7"/>
  <c r="AQ83" i="7"/>
  <c r="AU83" i="7"/>
  <c r="AN83" i="14"/>
  <c r="AR83" i="14"/>
  <c r="AV83" i="14"/>
  <c r="AO83" i="6"/>
  <c r="AS83" i="6"/>
  <c r="AL83" i="5"/>
  <c r="AP83" i="5"/>
  <c r="AT83" i="5"/>
  <c r="AM83" i="4"/>
  <c r="AQ83" i="4"/>
  <c r="AU83" i="4"/>
  <c r="AV83" i="3"/>
  <c r="AO83" i="2"/>
  <c r="AS83" i="2"/>
  <c r="AN83" i="1"/>
  <c r="AR83" i="1"/>
  <c r="AV83" i="1"/>
  <c r="AO85" i="22"/>
  <c r="AS85" i="22"/>
  <c r="AL83" i="19"/>
  <c r="AP83" i="19"/>
  <c r="AT83" i="19"/>
  <c r="AM83" i="18"/>
  <c r="AQ83" i="18"/>
  <c r="AU83" i="18"/>
  <c r="AN83" i="17"/>
  <c r="AR83" i="17"/>
  <c r="AV83" i="17"/>
  <c r="AO83" i="16"/>
  <c r="AS83" i="16"/>
  <c r="AL83" i="15"/>
  <c r="AP83" i="15"/>
  <c r="AT83" i="15"/>
  <c r="AM83" i="13"/>
  <c r="AQ83" i="13"/>
  <c r="AU83" i="13"/>
  <c r="AN83" i="12"/>
  <c r="AR83" i="12"/>
  <c r="AV83" i="12"/>
  <c r="AO83" i="11"/>
  <c r="AS83" i="11"/>
  <c r="AL83" i="10"/>
  <c r="AP83" i="10"/>
  <c r="AT83" i="10"/>
  <c r="AM83" i="9"/>
  <c r="AU83" i="9"/>
  <c r="AN83" i="7"/>
  <c r="AR83" i="7"/>
  <c r="AV83" i="7"/>
  <c r="AO83" i="14"/>
  <c r="AS83" i="14"/>
  <c r="AL83" i="6"/>
  <c r="AP83" i="6"/>
  <c r="AT83" i="6"/>
  <c r="AM83" i="5"/>
  <c r="AQ83" i="5"/>
  <c r="AU83" i="5"/>
  <c r="AN83" i="4"/>
  <c r="AR83" i="4"/>
  <c r="AV83" i="4"/>
  <c r="AS83" i="3"/>
  <c r="AL83" i="2"/>
  <c r="AP83" i="2"/>
  <c r="AT83" i="2"/>
  <c r="AO83" i="1"/>
  <c r="AS83" i="1"/>
  <c r="AL85" i="22"/>
  <c r="AP85" i="22"/>
  <c r="AT85" i="22"/>
  <c r="AM83" i="19"/>
  <c r="AQ83" i="19"/>
  <c r="AU83" i="19"/>
  <c r="AN83" i="18"/>
  <c r="AR83" i="18"/>
  <c r="AV83" i="18"/>
  <c r="AO83" i="17"/>
  <c r="AS83" i="17"/>
  <c r="AL83" i="16"/>
  <c r="AP83" i="16"/>
  <c r="AT83" i="16"/>
  <c r="AM83" i="15"/>
  <c r="AQ83" i="15"/>
  <c r="AU83" i="15"/>
  <c r="AN83" i="13"/>
  <c r="AR83" i="13"/>
  <c r="AV83" i="13"/>
  <c r="AO83" i="12"/>
  <c r="AS83" i="12"/>
  <c r="AL83" i="11"/>
  <c r="AP83" i="11"/>
  <c r="AT83" i="11"/>
  <c r="AM83" i="10"/>
  <c r="AQ83" i="10"/>
  <c r="AU83" i="10"/>
  <c r="AN83" i="9"/>
  <c r="AR83" i="9"/>
  <c r="AV83" i="9"/>
  <c r="AO83" i="7"/>
  <c r="AS83" i="7"/>
  <c r="AL83" i="14"/>
  <c r="AP83" i="14"/>
  <c r="AT83" i="14"/>
  <c r="AM83" i="6"/>
  <c r="AQ83" i="6"/>
  <c r="AU83" i="6"/>
  <c r="AN83" i="5"/>
  <c r="AR83" i="5"/>
  <c r="AV83" i="5"/>
  <c r="AO83" i="4"/>
  <c r="AS83" i="4"/>
  <c r="AL83" i="3"/>
  <c r="AT83" i="3"/>
  <c r="AM83" i="2"/>
  <c r="AQ83" i="2"/>
  <c r="X83" i="7"/>
  <c r="X85" i="7" s="1"/>
  <c r="AG83" i="3"/>
  <c r="AG85" i="3" s="1"/>
  <c r="AG83" i="7"/>
  <c r="AG85" i="7" s="1"/>
  <c r="AG83" i="18"/>
  <c r="AG83" i="14"/>
  <c r="AG83" i="2"/>
  <c r="AG83" i="10"/>
  <c r="AG85" i="10" s="1"/>
  <c r="AG83" i="1"/>
  <c r="AG83" i="9"/>
  <c r="AG85" i="9" s="1"/>
  <c r="AG83" i="19"/>
  <c r="AG85" i="19" s="1"/>
  <c r="AG83" i="11"/>
  <c r="AG85" i="11" s="1"/>
  <c r="AW83" i="9"/>
  <c r="AG83" i="4"/>
  <c r="AG85" i="4" s="1"/>
  <c r="AG83" i="12"/>
  <c r="AG85" i="12" s="1"/>
  <c r="AG83" i="16"/>
  <c r="AG85" i="16" s="1"/>
  <c r="AG83" i="6"/>
  <c r="AG85" i="6" s="1"/>
  <c r="AG83" i="15"/>
  <c r="AG85" i="15" s="1"/>
  <c r="AG83" i="5"/>
  <c r="AG83" i="13"/>
  <c r="AG83" i="17"/>
  <c r="AK83" i="17"/>
  <c r="AK83" i="16"/>
  <c r="AK83" i="11"/>
  <c r="AK83" i="14"/>
  <c r="AK83" i="3"/>
  <c r="AK85" i="22"/>
  <c r="AK83" i="15"/>
  <c r="AK83" i="10"/>
  <c r="AK83" i="6"/>
  <c r="AK83" i="2"/>
  <c r="AK83" i="19"/>
  <c r="AK83" i="13"/>
  <c r="AK83" i="9"/>
  <c r="AK83" i="5"/>
  <c r="AK83" i="1"/>
  <c r="AK83" i="18"/>
  <c r="AK83" i="12"/>
  <c r="AK83" i="7"/>
  <c r="AK83" i="4"/>
  <c r="M83" i="1"/>
  <c r="M85" i="1" s="1"/>
  <c r="AC83" i="1"/>
  <c r="AC85" i="1" s="1"/>
  <c r="O83" i="1"/>
  <c r="O85" i="1" s="1"/>
  <c r="W83" i="1"/>
  <c r="W85" i="1" s="1"/>
  <c r="AE83" i="1"/>
  <c r="AE85" i="1" s="1"/>
  <c r="U83" i="1"/>
  <c r="U85" i="1" s="1"/>
  <c r="L83" i="1"/>
  <c r="L85" i="1" s="1"/>
  <c r="T83" i="1"/>
  <c r="T85" i="1" s="1"/>
  <c r="AB83" i="1"/>
  <c r="AB85" i="1" s="1"/>
  <c r="AF83" i="1"/>
  <c r="AF85" i="1" s="1"/>
  <c r="L83" i="19"/>
  <c r="L85" i="19" s="1"/>
  <c r="P83" i="19"/>
  <c r="P85" i="19" s="1"/>
  <c r="Z83" i="19"/>
  <c r="Z85" i="19" s="1"/>
  <c r="AF83" i="19"/>
  <c r="AF85" i="19" s="1"/>
  <c r="N83" i="18"/>
  <c r="N85" i="18" s="1"/>
  <c r="V83" i="18"/>
  <c r="V85" i="18" s="1"/>
  <c r="I83" i="19"/>
  <c r="I85" i="19" s="1"/>
  <c r="M83" i="19"/>
  <c r="M85" i="19"/>
  <c r="Q83" i="19"/>
  <c r="Q85" i="19" s="1"/>
  <c r="V83" i="19"/>
  <c r="V85" i="19" s="1"/>
  <c r="AB83" i="19"/>
  <c r="AB85" i="19" s="1"/>
  <c r="U83" i="18"/>
  <c r="U85" i="18" s="1"/>
  <c r="P83" i="18"/>
  <c r="P85" i="18" s="1"/>
  <c r="AF83" i="18"/>
  <c r="AF85" i="18" s="1"/>
  <c r="I83" i="1"/>
  <c r="I85" i="1" s="1"/>
  <c r="Y83" i="1"/>
  <c r="Y85" i="1" s="1"/>
  <c r="Y88" i="1" s="1"/>
  <c r="J83" i="1"/>
  <c r="J85" i="1" s="1"/>
  <c r="N83" i="1"/>
  <c r="N85" i="1" s="1"/>
  <c r="R83" i="1"/>
  <c r="R85" i="1" s="1"/>
  <c r="V83" i="1"/>
  <c r="V85" i="1" s="1"/>
  <c r="Z83" i="1"/>
  <c r="Z85" i="1" s="1"/>
  <c r="J83" i="19"/>
  <c r="J85" i="19" s="1"/>
  <c r="N83" i="19"/>
  <c r="N85" i="19"/>
  <c r="R83" i="19"/>
  <c r="R85" i="19" s="1"/>
  <c r="AC83" i="19"/>
  <c r="AC85" i="19" s="1"/>
  <c r="J83" i="18"/>
  <c r="J85" i="18" s="1"/>
  <c r="R83" i="18"/>
  <c r="R85" i="18" s="1"/>
  <c r="Z83" i="18"/>
  <c r="Z85" i="18"/>
  <c r="K83" i="1"/>
  <c r="K85" i="1" s="1"/>
  <c r="S83" i="1"/>
  <c r="S85" i="1" s="1"/>
  <c r="K83" i="19"/>
  <c r="K85" i="19" s="1"/>
  <c r="O83" i="19"/>
  <c r="O85" i="19" s="1"/>
  <c r="T83" i="19"/>
  <c r="T85" i="19" s="1"/>
  <c r="Y83" i="19"/>
  <c r="Y85" i="19" s="1"/>
  <c r="AD83" i="19"/>
  <c r="AD85" i="19" s="1"/>
  <c r="L83" i="18"/>
  <c r="L85" i="18" s="1"/>
  <c r="T83" i="18"/>
  <c r="T85" i="18" s="1"/>
  <c r="AB83" i="18"/>
  <c r="AB85" i="18" s="1"/>
  <c r="J83" i="17"/>
  <c r="J85" i="17" s="1"/>
  <c r="N83" i="17"/>
  <c r="N85" i="17" s="1"/>
  <c r="R83" i="17"/>
  <c r="R85" i="17" s="1"/>
  <c r="V83" i="17"/>
  <c r="V85" i="17" s="1"/>
  <c r="Z83" i="17"/>
  <c r="Z85" i="17" s="1"/>
  <c r="J83" i="16"/>
  <c r="J85" i="16" s="1"/>
  <c r="N83" i="16"/>
  <c r="N85" i="16" s="1"/>
  <c r="R83" i="16"/>
  <c r="R85" i="16" s="1"/>
  <c r="V83" i="16"/>
  <c r="V85" i="16" s="1"/>
  <c r="Z83" i="16"/>
  <c r="Z85" i="16" s="1"/>
  <c r="J83" i="15"/>
  <c r="J85" i="15"/>
  <c r="N83" i="15"/>
  <c r="N85" i="15" s="1"/>
  <c r="R83" i="15"/>
  <c r="R85" i="15" s="1"/>
  <c r="V83" i="15"/>
  <c r="V85" i="15" s="1"/>
  <c r="Z83" i="15"/>
  <c r="Z85" i="15" s="1"/>
  <c r="AD83" i="15"/>
  <c r="AD85" i="15" s="1"/>
  <c r="J83" i="13"/>
  <c r="J85" i="13" s="1"/>
  <c r="N83" i="13"/>
  <c r="N85" i="13" s="1"/>
  <c r="R83" i="13"/>
  <c r="R85" i="13" s="1"/>
  <c r="V83" i="13"/>
  <c r="V85" i="13" s="1"/>
  <c r="Z83" i="13"/>
  <c r="Z85" i="13" s="1"/>
  <c r="J83" i="12"/>
  <c r="J85" i="12" s="1"/>
  <c r="N83" i="12"/>
  <c r="N85" i="12" s="1"/>
  <c r="R83" i="12"/>
  <c r="R85" i="12" s="1"/>
  <c r="V83" i="12"/>
  <c r="V85" i="12" s="1"/>
  <c r="Z83" i="12"/>
  <c r="Z85" i="12" s="1"/>
  <c r="J83" i="11"/>
  <c r="J85" i="11" s="1"/>
  <c r="N83" i="11"/>
  <c r="N85" i="11" s="1"/>
  <c r="R83" i="11"/>
  <c r="R85" i="11" s="1"/>
  <c r="V83" i="11"/>
  <c r="V85" i="11" s="1"/>
  <c r="Z83" i="11"/>
  <c r="Z85" i="11"/>
  <c r="J83" i="10"/>
  <c r="J85" i="10" s="1"/>
  <c r="N83" i="10"/>
  <c r="N85" i="10" s="1"/>
  <c r="R83" i="10"/>
  <c r="R85" i="10" s="1"/>
  <c r="V83" i="10"/>
  <c r="V85" i="10"/>
  <c r="Z83" i="10"/>
  <c r="Z85" i="10" s="1"/>
  <c r="J83" i="9"/>
  <c r="J85" i="9" s="1"/>
  <c r="Q83" i="9"/>
  <c r="Q85" i="9" s="1"/>
  <c r="Y83" i="9"/>
  <c r="Y85" i="9" s="1"/>
  <c r="S83" i="19"/>
  <c r="S85" i="19" s="1"/>
  <c r="W83" i="19"/>
  <c r="W85" i="19" s="1"/>
  <c r="AE83" i="19"/>
  <c r="AE85" i="19" s="1"/>
  <c r="K83" i="18"/>
  <c r="K85" i="18" s="1"/>
  <c r="O83" i="18"/>
  <c r="O85" i="18" s="1"/>
  <c r="S83" i="18"/>
  <c r="S85" i="18" s="1"/>
  <c r="W83" i="18"/>
  <c r="W85" i="18" s="1"/>
  <c r="AE83" i="18"/>
  <c r="AE85" i="18" s="1"/>
  <c r="K83" i="17"/>
  <c r="K85" i="17" s="1"/>
  <c r="O83" i="17"/>
  <c r="O85" i="17" s="1"/>
  <c r="S83" i="17"/>
  <c r="S85" i="17" s="1"/>
  <c r="W83" i="17"/>
  <c r="W88" i="17" s="1"/>
  <c r="AE83" i="17"/>
  <c r="AE85" i="17" s="1"/>
  <c r="K83" i="16"/>
  <c r="K85" i="16" s="1"/>
  <c r="O83" i="16"/>
  <c r="O85" i="16" s="1"/>
  <c r="S83" i="16"/>
  <c r="S85" i="16" s="1"/>
  <c r="W83" i="16"/>
  <c r="W85" i="16" s="1"/>
  <c r="AE83" i="16"/>
  <c r="AE85" i="16" s="1"/>
  <c r="K83" i="15"/>
  <c r="K85" i="15" s="1"/>
  <c r="O83" i="15"/>
  <c r="O85" i="15" s="1"/>
  <c r="S83" i="15"/>
  <c r="S85" i="15" s="1"/>
  <c r="W83" i="15"/>
  <c r="W85" i="15" s="1"/>
  <c r="AE83" i="15"/>
  <c r="AE85" i="15" s="1"/>
  <c r="K83" i="13"/>
  <c r="K85" i="13" s="1"/>
  <c r="O83" i="13"/>
  <c r="O85" i="13" s="1"/>
  <c r="S83" i="13"/>
  <c r="S85" i="13" s="1"/>
  <c r="W83" i="13"/>
  <c r="W85" i="13"/>
  <c r="AE83" i="13"/>
  <c r="AE85" i="13" s="1"/>
  <c r="K83" i="12"/>
  <c r="K85" i="12" s="1"/>
  <c r="O83" i="12"/>
  <c r="O85" i="12" s="1"/>
  <c r="S83" i="12"/>
  <c r="S85" i="12" s="1"/>
  <c r="W83" i="12"/>
  <c r="W85" i="12" s="1"/>
  <c r="AE83" i="12"/>
  <c r="AE85" i="12" s="1"/>
  <c r="K83" i="11"/>
  <c r="K85" i="11" s="1"/>
  <c r="O83" i="11"/>
  <c r="O85" i="11" s="1"/>
  <c r="S83" i="11"/>
  <c r="S85" i="11" s="1"/>
  <c r="W83" i="11"/>
  <c r="W85" i="11" s="1"/>
  <c r="AE83" i="11"/>
  <c r="AE85" i="11" s="1"/>
  <c r="K83" i="10"/>
  <c r="K85" i="10" s="1"/>
  <c r="O83" i="10"/>
  <c r="O85" i="10" s="1"/>
  <c r="S83" i="10"/>
  <c r="S85" i="10" s="1"/>
  <c r="W83" i="10"/>
  <c r="W85" i="10" s="1"/>
  <c r="AE83" i="10"/>
  <c r="AE85" i="10" s="1"/>
  <c r="L83" i="9"/>
  <c r="L85" i="9" s="1"/>
  <c r="R83" i="9"/>
  <c r="R85" i="9" s="1"/>
  <c r="Z83" i="9"/>
  <c r="Z85" i="9" s="1"/>
  <c r="U83" i="17"/>
  <c r="U85" i="17" s="1"/>
  <c r="L83" i="17"/>
  <c r="L85" i="17" s="1"/>
  <c r="P83" i="17"/>
  <c r="P85" i="17" s="1"/>
  <c r="T83" i="17"/>
  <c r="T85" i="17" s="1"/>
  <c r="AB83" i="17"/>
  <c r="AB85" i="17" s="1"/>
  <c r="AF83" i="17"/>
  <c r="AF85" i="17" s="1"/>
  <c r="U83" i="16"/>
  <c r="U85" i="16" s="1"/>
  <c r="L83" i="16"/>
  <c r="L85" i="16" s="1"/>
  <c r="P83" i="16"/>
  <c r="P85" i="16" s="1"/>
  <c r="T83" i="16"/>
  <c r="T85" i="16" s="1"/>
  <c r="X83" i="16"/>
  <c r="X85" i="16" s="1"/>
  <c r="AB83" i="16"/>
  <c r="AB85" i="16" s="1"/>
  <c r="AF83" i="16"/>
  <c r="AF85" i="16" s="1"/>
  <c r="U83" i="15"/>
  <c r="U85" i="15" s="1"/>
  <c r="L83" i="15"/>
  <c r="L85" i="15" s="1"/>
  <c r="P83" i="15"/>
  <c r="P85" i="15" s="1"/>
  <c r="T83" i="15"/>
  <c r="T85" i="15" s="1"/>
  <c r="AB83" i="15"/>
  <c r="AB85" i="15" s="1"/>
  <c r="AF83" i="15"/>
  <c r="AF85" i="15" s="1"/>
  <c r="U83" i="13"/>
  <c r="U85" i="13" s="1"/>
  <c r="L83" i="13"/>
  <c r="L85" i="13" s="1"/>
  <c r="P83" i="13"/>
  <c r="P85" i="13" s="1"/>
  <c r="T83" i="13"/>
  <c r="T85" i="13" s="1"/>
  <c r="AB83" i="13"/>
  <c r="AB85" i="13" s="1"/>
  <c r="AF83" i="13"/>
  <c r="AF85" i="13" s="1"/>
  <c r="U83" i="12"/>
  <c r="U85" i="12" s="1"/>
  <c r="L83" i="12"/>
  <c r="L85" i="12" s="1"/>
  <c r="P83" i="12"/>
  <c r="P85" i="12" s="1"/>
  <c r="T83" i="12"/>
  <c r="T85" i="12" s="1"/>
  <c r="AB83" i="12"/>
  <c r="AB85" i="12" s="1"/>
  <c r="AF83" i="12"/>
  <c r="AF85" i="12" s="1"/>
  <c r="U83" i="11"/>
  <c r="U85" i="11" s="1"/>
  <c r="L83" i="11"/>
  <c r="L85" i="11" s="1"/>
  <c r="P83" i="11"/>
  <c r="P85" i="11" s="1"/>
  <c r="T83" i="11"/>
  <c r="T85" i="11" s="1"/>
  <c r="AB83" i="11"/>
  <c r="AB85" i="11" s="1"/>
  <c r="AF83" i="11"/>
  <c r="AF85" i="11" s="1"/>
  <c r="U83" i="10"/>
  <c r="U85" i="10" s="1"/>
  <c r="L83" i="10"/>
  <c r="L85" i="10" s="1"/>
  <c r="P83" i="10"/>
  <c r="P85" i="10" s="1"/>
  <c r="T83" i="10"/>
  <c r="T85" i="10" s="1"/>
  <c r="AB85" i="10"/>
  <c r="AB87" i="10" s="1"/>
  <c r="AF83" i="10"/>
  <c r="AF85" i="10" s="1"/>
  <c r="U83" i="9"/>
  <c r="U85" i="9" s="1"/>
  <c r="M83" i="9"/>
  <c r="M85" i="9" s="1"/>
  <c r="AC83" i="9"/>
  <c r="AC85" i="9" s="1"/>
  <c r="I83" i="18"/>
  <c r="I85" i="18" s="1"/>
  <c r="M83" i="18"/>
  <c r="M85" i="18" s="1"/>
  <c r="Q83" i="18"/>
  <c r="Q85" i="18" s="1"/>
  <c r="Y83" i="18"/>
  <c r="Y85" i="18" s="1"/>
  <c r="AC83" i="18"/>
  <c r="AC85" i="18" s="1"/>
  <c r="I83" i="17"/>
  <c r="I85" i="17" s="1"/>
  <c r="M83" i="17"/>
  <c r="M85" i="17" s="1"/>
  <c r="Q83" i="17"/>
  <c r="Q85" i="17" s="1"/>
  <c r="Y83" i="17"/>
  <c r="Y85" i="17" s="1"/>
  <c r="AC83" i="17"/>
  <c r="AC85" i="17" s="1"/>
  <c r="I83" i="16"/>
  <c r="I85" i="16" s="1"/>
  <c r="M83" i="16"/>
  <c r="M85" i="16" s="1"/>
  <c r="Q83" i="16"/>
  <c r="Q85" i="16" s="1"/>
  <c r="Y83" i="16"/>
  <c r="Y85" i="16" s="1"/>
  <c r="AC83" i="16"/>
  <c r="AC85" i="16" s="1"/>
  <c r="I83" i="15"/>
  <c r="I85" i="15" s="1"/>
  <c r="M83" i="15"/>
  <c r="M85" i="15" s="1"/>
  <c r="Q83" i="15"/>
  <c r="Q85" i="15" s="1"/>
  <c r="Y83" i="15"/>
  <c r="Y85" i="15" s="1"/>
  <c r="AC83" i="15"/>
  <c r="AC85" i="15" s="1"/>
  <c r="AC88" i="15" s="1"/>
  <c r="I83" i="13"/>
  <c r="I85" i="13" s="1"/>
  <c r="M83" i="13"/>
  <c r="M85" i="13" s="1"/>
  <c r="Q83" i="13"/>
  <c r="Q85" i="13" s="1"/>
  <c r="Y83" i="13"/>
  <c r="Y85" i="13" s="1"/>
  <c r="AC83" i="13"/>
  <c r="AC85" i="13" s="1"/>
  <c r="I83" i="12"/>
  <c r="I85" i="12" s="1"/>
  <c r="M83" i="12"/>
  <c r="M85" i="12" s="1"/>
  <c r="Q83" i="12"/>
  <c r="Q85" i="12" s="1"/>
  <c r="Y83" i="12"/>
  <c r="Y85" i="12" s="1"/>
  <c r="AC83" i="12"/>
  <c r="AC85" i="12" s="1"/>
  <c r="I83" i="11"/>
  <c r="I85" i="11" s="1"/>
  <c r="M83" i="11"/>
  <c r="M85" i="11" s="1"/>
  <c r="Q83" i="11"/>
  <c r="Q85" i="11" s="1"/>
  <c r="Y83" i="11"/>
  <c r="Y85" i="11" s="1"/>
  <c r="AC83" i="11"/>
  <c r="AC85" i="11" s="1"/>
  <c r="I83" i="10"/>
  <c r="I85" i="10" s="1"/>
  <c r="M83" i="10"/>
  <c r="M85" i="10" s="1"/>
  <c r="Q83" i="10"/>
  <c r="Q85" i="10" s="1"/>
  <c r="Y83" i="10"/>
  <c r="Y85" i="10" s="1"/>
  <c r="AC85" i="10"/>
  <c r="I83" i="9"/>
  <c r="I85" i="9" s="1"/>
  <c r="N83" i="9"/>
  <c r="N85" i="9" s="1"/>
  <c r="V83" i="9"/>
  <c r="V85" i="9" s="1"/>
  <c r="I83" i="7"/>
  <c r="I85" i="7" s="1"/>
  <c r="M83" i="7"/>
  <c r="M85" i="7" s="1"/>
  <c r="Q83" i="7"/>
  <c r="Q85" i="7" s="1"/>
  <c r="Y83" i="7"/>
  <c r="Y85" i="7" s="1"/>
  <c r="AC83" i="7"/>
  <c r="AC85" i="7" s="1"/>
  <c r="I83" i="14"/>
  <c r="I85" i="14" s="1"/>
  <c r="M83" i="14"/>
  <c r="M85" i="14" s="1"/>
  <c r="Q83" i="14"/>
  <c r="Q85" i="14" s="1"/>
  <c r="Y83" i="14"/>
  <c r="Y85" i="14" s="1"/>
  <c r="AC83" i="14"/>
  <c r="AC85" i="14" s="1"/>
  <c r="I83" i="6"/>
  <c r="I85" i="6" s="1"/>
  <c r="M83" i="6"/>
  <c r="M85" i="6" s="1"/>
  <c r="Q83" i="6"/>
  <c r="Q85" i="6" s="1"/>
  <c r="Y83" i="6"/>
  <c r="Y85" i="6" s="1"/>
  <c r="AC83" i="6"/>
  <c r="AC85" i="6" s="1"/>
  <c r="I83" i="5"/>
  <c r="I85" i="5" s="1"/>
  <c r="M83" i="5"/>
  <c r="M85" i="5" s="1"/>
  <c r="Q83" i="5"/>
  <c r="Q85" i="5" s="1"/>
  <c r="Y83" i="5"/>
  <c r="Y85" i="5" s="1"/>
  <c r="AC83" i="5"/>
  <c r="AC85" i="5" s="1"/>
  <c r="I83" i="4"/>
  <c r="I85" i="4" s="1"/>
  <c r="M83" i="4"/>
  <c r="M85" i="4" s="1"/>
  <c r="Q83" i="4"/>
  <c r="Q85" i="4" s="1"/>
  <c r="Y83" i="4"/>
  <c r="Y85" i="4" s="1"/>
  <c r="AC83" i="4"/>
  <c r="AC85" i="4" s="1"/>
  <c r="I83" i="3"/>
  <c r="I85" i="3" s="1"/>
  <c r="M83" i="3"/>
  <c r="M85" i="3" s="1"/>
  <c r="Q83" i="3"/>
  <c r="Q85" i="3" s="1"/>
  <c r="Y83" i="3"/>
  <c r="Y85" i="3" s="1"/>
  <c r="AC83" i="3"/>
  <c r="AC85" i="3" s="1"/>
  <c r="I83" i="2"/>
  <c r="I85" i="2" s="1"/>
  <c r="M83" i="2"/>
  <c r="M85" i="2" s="1"/>
  <c r="Q83" i="2"/>
  <c r="Q85" i="2" s="1"/>
  <c r="Y83" i="2"/>
  <c r="Y85" i="2" s="1"/>
  <c r="AC83" i="2"/>
  <c r="AC85" i="2" s="1"/>
  <c r="J83" i="7"/>
  <c r="J85" i="7" s="1"/>
  <c r="N83" i="7"/>
  <c r="N85" i="7" s="1"/>
  <c r="R83" i="7"/>
  <c r="R85" i="7" s="1"/>
  <c r="V83" i="7"/>
  <c r="V85" i="7" s="1"/>
  <c r="Z83" i="7"/>
  <c r="Z85" i="7" s="1"/>
  <c r="J83" i="14"/>
  <c r="J85" i="14" s="1"/>
  <c r="N83" i="14"/>
  <c r="N85" i="14"/>
  <c r="R83" i="14"/>
  <c r="R85" i="14" s="1"/>
  <c r="V83" i="14"/>
  <c r="V85" i="14" s="1"/>
  <c r="Z83" i="14"/>
  <c r="Z85" i="14" s="1"/>
  <c r="J83" i="6"/>
  <c r="J85" i="6"/>
  <c r="N83" i="6"/>
  <c r="N85" i="6" s="1"/>
  <c r="R83" i="6"/>
  <c r="R85" i="6" s="1"/>
  <c r="V83" i="6"/>
  <c r="V85" i="6" s="1"/>
  <c r="Z83" i="6"/>
  <c r="Z85" i="6" s="1"/>
  <c r="J83" i="5"/>
  <c r="J85" i="5" s="1"/>
  <c r="N83" i="5"/>
  <c r="N85" i="5" s="1"/>
  <c r="R83" i="5"/>
  <c r="R85" i="5" s="1"/>
  <c r="V83" i="5"/>
  <c r="V85" i="5" s="1"/>
  <c r="Z83" i="5"/>
  <c r="Z85" i="5" s="1"/>
  <c r="J83" i="4"/>
  <c r="J85" i="4" s="1"/>
  <c r="N83" i="4"/>
  <c r="N85" i="4" s="1"/>
  <c r="R83" i="4"/>
  <c r="R85" i="4" s="1"/>
  <c r="V83" i="4"/>
  <c r="V85" i="4" s="1"/>
  <c r="Z83" i="4"/>
  <c r="Z85" i="4" s="1"/>
  <c r="J83" i="3"/>
  <c r="J85" i="3" s="1"/>
  <c r="N83" i="3"/>
  <c r="N85" i="3" s="1"/>
  <c r="R83" i="3"/>
  <c r="R85" i="3" s="1"/>
  <c r="V83" i="3"/>
  <c r="V85" i="3" s="1"/>
  <c r="Z83" i="3"/>
  <c r="Z85" i="3" s="1"/>
  <c r="J83" i="2"/>
  <c r="J85" i="2" s="1"/>
  <c r="N83" i="2"/>
  <c r="N85" i="2" s="1"/>
  <c r="V83" i="2"/>
  <c r="V85" i="2" s="1"/>
  <c r="Z83" i="2"/>
  <c r="Z85" i="2" s="1"/>
  <c r="K83" i="9"/>
  <c r="K85" i="9" s="1"/>
  <c r="O83" i="9"/>
  <c r="O85" i="9" s="1"/>
  <c r="S83" i="9"/>
  <c r="S85" i="9" s="1"/>
  <c r="W83" i="9"/>
  <c r="W85" i="9" s="1"/>
  <c r="AE83" i="9"/>
  <c r="AE85" i="9" s="1"/>
  <c r="K83" i="7"/>
  <c r="K85" i="7" s="1"/>
  <c r="O83" i="7"/>
  <c r="O85" i="7" s="1"/>
  <c r="S83" i="7"/>
  <c r="S85" i="7" s="1"/>
  <c r="W83" i="7"/>
  <c r="W85" i="7" s="1"/>
  <c r="AA83" i="7"/>
  <c r="AA85" i="7" s="1"/>
  <c r="AE83" i="7"/>
  <c r="AE85" i="7" s="1"/>
  <c r="K83" i="14"/>
  <c r="K85" i="14" s="1"/>
  <c r="O83" i="14"/>
  <c r="O85" i="14" s="1"/>
  <c r="S83" i="14"/>
  <c r="S85" i="14" s="1"/>
  <c r="W83" i="14"/>
  <c r="W85" i="14" s="1"/>
  <c r="AE83" i="14"/>
  <c r="AE85" i="14" s="1"/>
  <c r="K83" i="6"/>
  <c r="K85" i="6" s="1"/>
  <c r="O83" i="6"/>
  <c r="O85" i="6" s="1"/>
  <c r="S83" i="6"/>
  <c r="S85" i="6" s="1"/>
  <c r="W83" i="6"/>
  <c r="W85" i="6"/>
  <c r="AE83" i="6"/>
  <c r="AE85" i="6" s="1"/>
  <c r="K83" i="5"/>
  <c r="K85" i="5" s="1"/>
  <c r="O83" i="5"/>
  <c r="O85" i="5" s="1"/>
  <c r="S83" i="5"/>
  <c r="S85" i="5" s="1"/>
  <c r="W83" i="5"/>
  <c r="W85" i="5" s="1"/>
  <c r="AE83" i="5"/>
  <c r="AE85" i="5" s="1"/>
  <c r="K83" i="4"/>
  <c r="K85" i="4" s="1"/>
  <c r="O83" i="4"/>
  <c r="O85" i="4" s="1"/>
  <c r="S83" i="4"/>
  <c r="S85" i="4" s="1"/>
  <c r="W83" i="4"/>
  <c r="W85" i="4" s="1"/>
  <c r="AE83" i="4"/>
  <c r="AE85" i="4" s="1"/>
  <c r="K83" i="3"/>
  <c r="K85" i="3" s="1"/>
  <c r="O83" i="3"/>
  <c r="O85" i="3" s="1"/>
  <c r="S83" i="3"/>
  <c r="S85" i="3" s="1"/>
  <c r="W83" i="3"/>
  <c r="W85" i="3" s="1"/>
  <c r="AE83" i="3"/>
  <c r="AE85" i="3" s="1"/>
  <c r="K83" i="2"/>
  <c r="K85" i="2" s="1"/>
  <c r="O83" i="2"/>
  <c r="O85" i="2" s="1"/>
  <c r="S83" i="2"/>
  <c r="S85" i="2" s="1"/>
  <c r="W83" i="2"/>
  <c r="W85" i="2" s="1"/>
  <c r="AE83" i="2"/>
  <c r="AE85" i="2" s="1"/>
  <c r="P83" i="9"/>
  <c r="P85" i="9" s="1"/>
  <c r="T83" i="9"/>
  <c r="T85" i="9" s="1"/>
  <c r="AB83" i="9"/>
  <c r="AB85" i="9" s="1"/>
  <c r="AF83" i="9"/>
  <c r="AF85" i="9" s="1"/>
  <c r="U83" i="7"/>
  <c r="U85" i="7" s="1"/>
  <c r="L83" i="7"/>
  <c r="L85" i="7"/>
  <c r="P83" i="7"/>
  <c r="P85" i="7" s="1"/>
  <c r="T83" i="7"/>
  <c r="T85" i="7" s="1"/>
  <c r="AB83" i="7"/>
  <c r="AB85" i="7" s="1"/>
  <c r="AF83" i="7"/>
  <c r="AF85" i="7" s="1"/>
  <c r="U83" i="14"/>
  <c r="U85" i="14" s="1"/>
  <c r="L83" i="14"/>
  <c r="L85" i="14" s="1"/>
  <c r="P83" i="14"/>
  <c r="P85" i="14" s="1"/>
  <c r="T83" i="14"/>
  <c r="T85" i="14" s="1"/>
  <c r="AA83" i="14"/>
  <c r="AA85" i="14" s="1"/>
  <c r="AB83" i="14"/>
  <c r="AB85" i="14" s="1"/>
  <c r="AF83" i="14"/>
  <c r="AF85" i="14" s="1"/>
  <c r="U83" i="6"/>
  <c r="U85" i="6" s="1"/>
  <c r="L83" i="6"/>
  <c r="L85" i="6" s="1"/>
  <c r="P83" i="6"/>
  <c r="P85" i="6" s="1"/>
  <c r="T83" i="6"/>
  <c r="T85" i="6" s="1"/>
  <c r="AB83" i="6"/>
  <c r="AB85" i="6" s="1"/>
  <c r="AF83" i="6"/>
  <c r="AF85" i="6" s="1"/>
  <c r="L83" i="5"/>
  <c r="L85" i="5" s="1"/>
  <c r="P83" i="5"/>
  <c r="P85" i="5" s="1"/>
  <c r="T83" i="5"/>
  <c r="T85" i="5" s="1"/>
  <c r="AB83" i="5"/>
  <c r="AB85" i="5" s="1"/>
  <c r="AF83" i="5"/>
  <c r="AF85" i="5" s="1"/>
  <c r="U83" i="4"/>
  <c r="U85" i="4" s="1"/>
  <c r="L83" i="4"/>
  <c r="L85" i="4" s="1"/>
  <c r="P83" i="4"/>
  <c r="P85" i="4" s="1"/>
  <c r="T83" i="4"/>
  <c r="T85" i="4" s="1"/>
  <c r="AB83" i="4"/>
  <c r="AB85" i="4" s="1"/>
  <c r="AF83" i="4"/>
  <c r="AF85" i="4" s="1"/>
  <c r="U83" i="3"/>
  <c r="U85" i="3" s="1"/>
  <c r="L83" i="3"/>
  <c r="L85" i="3" s="1"/>
  <c r="P83" i="3"/>
  <c r="P85" i="3" s="1"/>
  <c r="T83" i="3"/>
  <c r="T85" i="3" s="1"/>
  <c r="AB83" i="3"/>
  <c r="AB85" i="3" s="1"/>
  <c r="AF83" i="3"/>
  <c r="AF85" i="3" s="1"/>
  <c r="U83" i="2"/>
  <c r="U85" i="2" s="1"/>
  <c r="L83" i="2"/>
  <c r="L85" i="2"/>
  <c r="P83" i="2"/>
  <c r="P85" i="2" s="1"/>
  <c r="T83" i="2"/>
  <c r="T85" i="2" s="1"/>
  <c r="AB83" i="2"/>
  <c r="AB85" i="2" s="1"/>
  <c r="AF83" i="2"/>
  <c r="AF85" i="2" s="1"/>
  <c r="D91" i="10" l="1"/>
  <c r="D89" i="10"/>
  <c r="AH83" i="14"/>
  <c r="AH85" i="14" s="1"/>
  <c r="D89" i="12"/>
  <c r="AH83" i="13"/>
  <c r="AH85" i="13" s="1"/>
  <c r="S87" i="22"/>
  <c r="S95" i="22"/>
  <c r="S96" i="22" s="1"/>
  <c r="S97" i="22" s="1"/>
  <c r="D91" i="7"/>
  <c r="D89" i="16"/>
  <c r="D90" i="11"/>
  <c r="D89" i="11"/>
  <c r="D92" i="15"/>
  <c r="D92" i="2"/>
  <c r="D89" i="6"/>
  <c r="T87" i="22"/>
  <c r="T95" i="22"/>
  <c r="T96" i="22" s="1"/>
  <c r="T97" i="22" s="1"/>
  <c r="D92" i="11"/>
  <c r="D92" i="19"/>
  <c r="D89" i="2"/>
  <c r="D89" i="9"/>
  <c r="AQ85" i="1"/>
  <c r="D90" i="18"/>
  <c r="D90" i="6"/>
  <c r="D90" i="7"/>
  <c r="D90" i="19"/>
  <c r="D89" i="7"/>
  <c r="D91" i="14"/>
  <c r="D90" i="14"/>
  <c r="D89" i="13"/>
  <c r="D91" i="1"/>
  <c r="D90" i="2"/>
  <c r="D92" i="10"/>
  <c r="D92" i="6"/>
  <c r="D89" i="4"/>
  <c r="D92" i="4"/>
  <c r="D89" i="18"/>
  <c r="D90" i="16"/>
  <c r="D92" i="14"/>
  <c r="D89" i="14"/>
  <c r="H85" i="14"/>
  <c r="D92" i="5"/>
  <c r="D90" i="5"/>
  <c r="D91" i="11"/>
  <c r="D90" i="1"/>
  <c r="AH83" i="17"/>
  <c r="AH85" i="17" s="1"/>
  <c r="D89" i="1"/>
  <c r="D92" i="1"/>
  <c r="D91" i="19"/>
  <c r="AG85" i="17"/>
  <c r="D91" i="9"/>
  <c r="D91" i="6"/>
  <c r="D91" i="2"/>
  <c r="AH83" i="16"/>
  <c r="AH85" i="16" s="1"/>
  <c r="AH83" i="11"/>
  <c r="AH85" i="11" s="1"/>
  <c r="AG85" i="13"/>
  <c r="D89" i="15"/>
  <c r="D92" i="13"/>
  <c r="AH83" i="18"/>
  <c r="AH85" i="18" s="1"/>
  <c r="AH83" i="5"/>
  <c r="AH85" i="5" s="1"/>
  <c r="D89" i="3"/>
  <c r="D91" i="17"/>
  <c r="D91" i="16"/>
  <c r="F91" i="10"/>
  <c r="D92" i="7"/>
  <c r="D91" i="3"/>
  <c r="AG85" i="18"/>
  <c r="AH83" i="15"/>
  <c r="AH85" i="15" s="1"/>
  <c r="AG85" i="1"/>
  <c r="AH83" i="19"/>
  <c r="AH85" i="19" s="1"/>
  <c r="AH83" i="10"/>
  <c r="AH85" i="10" s="1"/>
  <c r="AH83" i="12"/>
  <c r="AH85" i="12" s="1"/>
  <c r="D93" i="22"/>
  <c r="AG85" i="14"/>
  <c r="AH83" i="4"/>
  <c r="AH85" i="4" s="1"/>
  <c r="D91" i="22"/>
  <c r="AH83" i="3"/>
  <c r="AH85" i="3" s="1"/>
  <c r="AG85" i="5"/>
  <c r="AG85" i="2"/>
  <c r="AH83" i="6"/>
  <c r="AH85" i="6" s="1"/>
  <c r="AH83" i="9"/>
  <c r="AH85" i="9" s="1"/>
  <c r="AH83" i="7"/>
  <c r="AH85" i="7" s="1"/>
  <c r="D92" i="22"/>
  <c r="D92" i="17"/>
  <c r="D89" i="5"/>
  <c r="D92" i="16"/>
  <c r="D91" i="18"/>
  <c r="W85" i="17"/>
  <c r="D89" i="17" s="1"/>
  <c r="D90" i="13"/>
  <c r="D90" i="17"/>
  <c r="D90" i="3"/>
  <c r="D92" i="12"/>
  <c r="D91" i="12"/>
  <c r="D91" i="4"/>
  <c r="D94" i="22"/>
  <c r="D92" i="9"/>
  <c r="D92" i="18"/>
  <c r="D90" i="4"/>
  <c r="D91" i="5"/>
  <c r="D91" i="15"/>
  <c r="D91" i="13"/>
  <c r="D89" i="19"/>
  <c r="D90" i="9"/>
  <c r="D90" i="10"/>
  <c r="D90" i="15"/>
  <c r="D90" i="12"/>
  <c r="D92" i="3"/>
  <c r="D93" i="14" l="1"/>
  <c r="D93" i="11"/>
  <c r="D93" i="7"/>
  <c r="D93" i="6"/>
  <c r="D93" i="2"/>
  <c r="D93" i="1"/>
  <c r="D93" i="18"/>
  <c r="D93" i="15"/>
  <c r="D93" i="16"/>
  <c r="D93" i="19"/>
  <c r="D93" i="10"/>
  <c r="D93" i="9"/>
  <c r="D93" i="12"/>
  <c r="D93" i="3"/>
  <c r="D93" i="17"/>
  <c r="D93" i="13"/>
  <c r="D93" i="5"/>
  <c r="D93" i="4"/>
  <c r="D95" i="22"/>
  <c r="P83" i="1" l="1"/>
  <c r="P85" i="1" s="1"/>
  <c r="P85" i="22"/>
  <c r="Q83" i="1"/>
  <c r="Q85" i="1" s="1"/>
  <c r="H75" i="1"/>
  <c r="AH75" i="1" s="1"/>
  <c r="P87" i="22" l="1"/>
  <c r="P95" i="22"/>
  <c r="P96" i="22" s="1"/>
  <c r="P97" i="22" s="1"/>
  <c r="H83" i="1"/>
  <c r="AH83" i="1" s="1"/>
  <c r="AH85" i="1" s="1"/>
  <c r="G80" i="1"/>
  <c r="Q85" i="22"/>
  <c r="Q87" i="22" l="1"/>
  <c r="Q95" i="22"/>
  <c r="Q96" i="22" s="1"/>
  <c r="Q97" i="22" s="1"/>
  <c r="R83" i="2" l="1"/>
  <c r="R85" i="2" s="1"/>
  <c r="H50" i="2"/>
  <c r="R52" i="22"/>
  <c r="R105" i="22" s="1"/>
  <c r="H83" i="2" l="1"/>
  <c r="AH83" i="2" s="1"/>
  <c r="AH85" i="2" s="1"/>
  <c r="AH50" i="2"/>
  <c r="R85" i="22"/>
  <c r="H52" i="22"/>
  <c r="R89" i="22" l="1"/>
  <c r="R87" i="22"/>
  <c r="R95" i="22"/>
  <c r="R96" i="22" s="1"/>
  <c r="R97" i="22" s="1"/>
  <c r="H85" i="22"/>
  <c r="AH52" i="22"/>
  <c r="R102" i="22" l="1"/>
  <c r="T100" i="22"/>
  <c r="G104" i="22"/>
  <c r="AH85" i="22"/>
  <c r="H87" i="22"/>
  <c r="AJ85" i="22" l="1"/>
  <c r="AH87" i="22"/>
  <c r="AU83" i="17" l="1"/>
  <c r="AW38" i="17"/>
  <c r="AX38" i="17" s="1"/>
  <c r="AX83" i="17" l="1"/>
  <c r="AY38" i="17"/>
  <c r="AW8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C5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Es una prorroga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B78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solciiatr autorización para transferir.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  <author>User</author>
  </authors>
  <commentList>
    <comment ref="B36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Odontologico ges</t>
        </r>
      </text>
    </comment>
    <comment ref="B37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odontoligo GES
</t>
        </r>
      </text>
    </comment>
    <comment ref="E50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12 CUOTAS DEL 8% CADA UNA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6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prorroga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E8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recibidos año 2019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C7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NO se asignan recursos para pago de facturas. Se transfieren la totalidad de recursos a la comuna en dos cuotas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6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 memento de recibir los recursos enviarlos en su totalidad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B78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solicitar autorización.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D77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El monto corresponde al total de la res, el monto a transferir es de $11,402,112 en 2 cuotas de 70% y 30%,  por concepto de remuneraciones de remplazos</t>
        </r>
      </text>
    </comment>
    <comment ref="D7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solicitar autorización para transferir. Numero de cuotas?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D7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Monto total del convenio. Solo se deben transferir $89,950,224 en 2 cuotas del 70% hy 30%, que corresponden al pago de remuneraciones a remplazantes</t>
        </r>
      </text>
    </comment>
    <comment ref="D78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Guajardo. Cuando lleguen los recursos consultar aprobación de trans, ademas de cantidad de cuotas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D77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Monto total del convenio. Monto de cuotas corresponde a lo q se transferira por remplazo</t>
        </r>
      </text>
    </comment>
    <comment ref="C7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Guajardo. Solicitar autorización para transferir</t>
        </r>
      </text>
    </comment>
  </commentList>
</comments>
</file>

<file path=xl/sharedStrings.xml><?xml version="1.0" encoding="utf-8"?>
<sst xmlns="http://schemas.openxmlformats.org/spreadsheetml/2006/main" count="3897" uniqueCount="320">
  <si>
    <t>MINISTERIO DE SALUD</t>
  </si>
  <si>
    <t>SERVICIO DE SALUD</t>
  </si>
  <si>
    <t>VIÑA DEL MAR - QUILLOTA</t>
  </si>
  <si>
    <t>FICHA COMUNAL  APS MUNICIPAL 2020</t>
  </si>
  <si>
    <t>COMUNA</t>
  </si>
  <si>
    <t>RUT</t>
  </si>
  <si>
    <t>LEYES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</si>
  <si>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</si>
  <si>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</si>
  <si>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</si>
  <si>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</si>
  <si>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</si>
  <si>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</si>
  <si>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</si>
  <si>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</si>
  <si>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</si>
  <si>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</si>
  <si>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</si>
  <si>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</si>
  <si>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</si>
  <si>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</si>
  <si>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</si>
  <si>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</si>
  <si>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</si>
  <si>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</si>
  <si>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Nº CUOTAS</t>
  </si>
  <si>
    <t>Per-Cápita Basal</t>
  </si>
  <si>
    <t>Asignación Desempeño Dicifil</t>
  </si>
  <si>
    <t>Descuento Retiro Voluntario Ley 20.589</t>
  </si>
  <si>
    <t>Ley</t>
  </si>
  <si>
    <t>Descuento Retiro Voluntario Ley 20.919</t>
  </si>
  <si>
    <t>Asignación Competencia Profesionales (Ex Fortalecimiento Salud Familiar)</t>
  </si>
  <si>
    <t>Conductores</t>
  </si>
  <si>
    <t>Diferencial SBMN</t>
  </si>
  <si>
    <t>SAPU ADDF</t>
  </si>
  <si>
    <t>TANS</t>
  </si>
  <si>
    <t>TOTAL LEYES</t>
  </si>
  <si>
    <t>PENDIENTE A TRANSFERIR</t>
  </si>
  <si>
    <t>RECURSOS RECIBIDOS - INGRESOS</t>
  </si>
  <si>
    <t>RECURSOS TRANSFERIDOS - GASTOS</t>
  </si>
  <si>
    <t>COMUNA: La Calera</t>
  </si>
  <si>
    <t>RUT: 69060300-4</t>
  </si>
  <si>
    <t>COMUNA: Concón</t>
  </si>
  <si>
    <t>RUT: 73568600-3</t>
  </si>
  <si>
    <t>COMUNA: Hijuelas</t>
  </si>
  <si>
    <t>RUT: 69060500-7</t>
  </si>
  <si>
    <t>COMUNA: La Cruz</t>
  </si>
  <si>
    <t>RUT: 69060200-8</t>
  </si>
  <si>
    <t>COMUNA: La Ligua</t>
  </si>
  <si>
    <t>RUT: 69050100-7</t>
  </si>
  <si>
    <t>COMUNA: Nogales</t>
  </si>
  <si>
    <t>RUT: 69060600-3</t>
  </si>
  <si>
    <t>COMUNA: Olmue</t>
  </si>
  <si>
    <t>COMUNA: Papudo</t>
  </si>
  <si>
    <t>RUT: 69050300-k</t>
  </si>
  <si>
    <t>COMUNA: Petorca</t>
  </si>
  <si>
    <t>RUT: 69050500-2</t>
  </si>
  <si>
    <t>COMUNA: Puchuncavi</t>
  </si>
  <si>
    <t>RUT: 69060800-6</t>
  </si>
  <si>
    <t>COMUNA: Quillota</t>
  </si>
  <si>
    <t>COMUNA: Quilpue</t>
  </si>
  <si>
    <t>RUT:  69061300-k</t>
  </si>
  <si>
    <t>COMUNA: Quintero</t>
  </si>
  <si>
    <t>RUT: 69060700-k</t>
  </si>
  <si>
    <t>COMUNA: Villa Alemana</t>
  </si>
  <si>
    <t>RUT: 70983600-5</t>
  </si>
  <si>
    <t>COMUNA: Zapallar</t>
  </si>
  <si>
    <t>RUT: 69050400-6</t>
  </si>
  <si>
    <t>COMUNA: Cabildo</t>
  </si>
  <si>
    <t>RUT: 69050200-3</t>
  </si>
  <si>
    <t>Fono:</t>
  </si>
  <si>
    <t>Fono: 322814058 - +56 9 95457761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</si>
  <si>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</si>
  <si>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</si>
  <si>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</si>
  <si>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</si>
  <si>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</si>
  <si>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</si>
  <si>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</si>
  <si>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</si>
  <si>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</si>
  <si>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</si>
  <si>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</si>
  <si>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</si>
  <si>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</si>
  <si>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</si>
  <si>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</si>
  <si>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</si>
  <si>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</si>
  <si>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</si>
  <si>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</si>
  <si>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</si>
  <si>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</si>
  <si>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</si>
  <si>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TOTAL</t>
  </si>
  <si>
    <t>Hombres de Escasos Recursos (HER)</t>
  </si>
  <si>
    <t>Más Sanrisas</t>
  </si>
  <si>
    <t>Atención Odontólogica 4º Medio</t>
  </si>
  <si>
    <t>Atención Odontólogica Domiciliaria</t>
  </si>
  <si>
    <t>Salud Oral Niños 6 años</t>
  </si>
  <si>
    <t>Atención Odontólogico de 60 años</t>
  </si>
  <si>
    <t>Especialidades Ambulatorias</t>
  </si>
  <si>
    <t>Procedimientos cutaneos baja complejidad</t>
  </si>
  <si>
    <t>SAPU Verano</t>
  </si>
  <si>
    <t>Más Adultos Mayores Autovalentes (AMA)</t>
  </si>
  <si>
    <t xml:space="preserve">AGL UAPO </t>
  </si>
  <si>
    <t>1596-1597</t>
  </si>
  <si>
    <t>DIR Asistida en Acohol, Tabaco y Drogas</t>
  </si>
  <si>
    <t>Refuerzo RRHH</t>
  </si>
  <si>
    <t>Modelo de Atención Integral Salud Familiar Comunitaria MAIS</t>
  </si>
  <si>
    <t>SAPU Dental</t>
  </si>
  <si>
    <t>1622-1864</t>
  </si>
  <si>
    <t>Atención de Mujeres</t>
  </si>
  <si>
    <t>Quillota</t>
  </si>
  <si>
    <t>Quilpue</t>
  </si>
  <si>
    <t>MONTO ASIGNADO</t>
  </si>
  <si>
    <t>RECIBIDO DESDE MINSAL</t>
  </si>
  <si>
    <t>TOTAL TRANSFERENCIAS TRIMESTRAL</t>
  </si>
  <si>
    <t>CIRCULAR N°16</t>
  </si>
  <si>
    <t>1° TR</t>
  </si>
  <si>
    <t>2° TR</t>
  </si>
  <si>
    <t>3° TR</t>
  </si>
  <si>
    <t>4° TR</t>
  </si>
  <si>
    <t>Enero-Febrero-Marzo</t>
  </si>
  <si>
    <t>Abril-Mayo-Junio</t>
  </si>
  <si>
    <t>Julio-Agosto-Septiembre</t>
  </si>
  <si>
    <t>Octubre-Noviembre-Diciembre</t>
  </si>
  <si>
    <t xml:space="preserve">AGL 2019 </t>
  </si>
  <si>
    <t>AGL UAPO Recursos 2017-2018</t>
  </si>
  <si>
    <t>PAC Componente Capacitación Universal</t>
  </si>
  <si>
    <t>DESEMPEÑO COLECTIVO FIJO</t>
  </si>
  <si>
    <t>DESEMPEÑO COLECTIVO VARIABLE</t>
  </si>
  <si>
    <t>Chile Crece Contigo CHCC</t>
  </si>
  <si>
    <t>Refuerzo consultorio Campaña Invierno</t>
  </si>
  <si>
    <t>Refuerzo Médico y Paramedico SAPU C.I.</t>
  </si>
  <si>
    <t>Refuerzo Kine en SAPU C.I.</t>
  </si>
  <si>
    <t>COMUNA:</t>
  </si>
  <si>
    <t>COMUNA: Viña del Mar</t>
  </si>
  <si>
    <t>RUT: 70872300-2</t>
  </si>
  <si>
    <t>Refuerzo RRHH- PAP</t>
  </si>
  <si>
    <t>2620 ADD</t>
  </si>
  <si>
    <t>Refuerzo RRHH- SIGGES</t>
  </si>
  <si>
    <t>2622 ADD</t>
  </si>
  <si>
    <t>68 ADD'19-2880 '20</t>
  </si>
  <si>
    <t>AGL Capacitación y formación</t>
  </si>
  <si>
    <t xml:space="preserve">AGL </t>
  </si>
  <si>
    <t>N° DE FOLIO REGISTRO "LEY TRASPARENCIA"</t>
  </si>
  <si>
    <t>COMUNA LIMACHE</t>
  </si>
  <si>
    <t>69061100-7</t>
  </si>
  <si>
    <t>RUT 69061100-7</t>
  </si>
  <si>
    <t>Etiquetas de fila</t>
  </si>
  <si>
    <t>Suma de RECURSOS RECIBIDOS</t>
  </si>
  <si>
    <t>(en blanco)</t>
  </si>
  <si>
    <t>Total general</t>
  </si>
  <si>
    <t>Suma de RECURSOS TRANSFERIDOS</t>
  </si>
  <si>
    <t>1</t>
  </si>
  <si>
    <t>2</t>
  </si>
  <si>
    <t>3</t>
  </si>
  <si>
    <t>ENERO 2</t>
  </si>
  <si>
    <t>FEBRERO2</t>
  </si>
  <si>
    <t>MARZO2</t>
  </si>
  <si>
    <t>ABRIL2</t>
  </si>
  <si>
    <t>MAYO2</t>
  </si>
  <si>
    <t>JUNIO2</t>
  </si>
  <si>
    <t>JULIO2</t>
  </si>
  <si>
    <t>AGOSTO2</t>
  </si>
  <si>
    <t>SEPTIEMBRE2</t>
  </si>
  <si>
    <t>OCTUBRE2</t>
  </si>
  <si>
    <t>NOVIEMBRE2</t>
  </si>
  <si>
    <t>DICIEMBRE2</t>
  </si>
  <si>
    <t>Convenio FENAPS: Educación Continua (PAC)</t>
  </si>
  <si>
    <t xml:space="preserve">Convenio FENAPS: Educación Continua </t>
  </si>
  <si>
    <t>Los recursos no se transfieren a la comuna. Pago directo.</t>
  </si>
  <si>
    <t>Capacitación y Formación. Desarrollo RRHH</t>
  </si>
  <si>
    <t>1492-2886</t>
  </si>
  <si>
    <t>1242-3241</t>
  </si>
  <si>
    <t>2026-3247</t>
  </si>
  <si>
    <t>RENDICIONES FINANCIERAS</t>
  </si>
  <si>
    <t>TOTAL RENDIDO</t>
  </si>
  <si>
    <t>PENDIENTE POR RENDIR</t>
  </si>
  <si>
    <t>Fortalecimiento RRHH</t>
  </si>
  <si>
    <t>Fortalecimiento RRHH- PAP</t>
  </si>
  <si>
    <t>Fortalecimiento RRHH- SIGGES</t>
  </si>
  <si>
    <t>RUT: 69260400-8   69060100-1</t>
  </si>
  <si>
    <t>AGL Adquisición Ambulancias y VAN</t>
  </si>
  <si>
    <t>1710-547</t>
  </si>
  <si>
    <t>1263-547</t>
  </si>
  <si>
    <t>1264-547</t>
  </si>
  <si>
    <t>Misión de estudio / Remplazante</t>
  </si>
  <si>
    <t>Mi Consultorio se pone a punto</t>
  </si>
  <si>
    <t>2052-556</t>
  </si>
  <si>
    <t>1980-548</t>
  </si>
  <si>
    <t>Int 549</t>
  </si>
  <si>
    <t>Int 543</t>
  </si>
  <si>
    <t>Int 541</t>
  </si>
  <si>
    <t>Int 538</t>
  </si>
  <si>
    <t>Int 536</t>
  </si>
  <si>
    <t>Int 565</t>
  </si>
  <si>
    <t>Convenio FENAPS: Educación Continua</t>
  </si>
  <si>
    <t>Int 564</t>
  </si>
  <si>
    <t>Int 567</t>
  </si>
  <si>
    <t>Int 566</t>
  </si>
  <si>
    <t>RETIRO ANTICIPO (CARGO MUNICIPAL)</t>
  </si>
  <si>
    <t>RETIRO COMPLEMENTO (CARGO FISCAL)</t>
  </si>
  <si>
    <t>Int 586</t>
  </si>
  <si>
    <t>Plan de Mantenimiento Establecimientos APS</t>
  </si>
  <si>
    <t>Int 611</t>
  </si>
  <si>
    <t>1863- Int 604</t>
  </si>
  <si>
    <t>Int 587</t>
  </si>
  <si>
    <t>AGL</t>
  </si>
  <si>
    <t>AGL SUR REFUERZO COVID-19</t>
  </si>
  <si>
    <t>Int 621</t>
  </si>
  <si>
    <t>Int 620</t>
  </si>
  <si>
    <t>1440- ADD Int 618</t>
  </si>
  <si>
    <t>Int 617</t>
  </si>
  <si>
    <t>Int 616</t>
  </si>
  <si>
    <t>Int 613</t>
  </si>
  <si>
    <t>1436- Int 612</t>
  </si>
  <si>
    <t>4212-(Int 574)</t>
  </si>
  <si>
    <t>3695 (Int 551)</t>
  </si>
  <si>
    <t>4202 (Int 573)</t>
  </si>
  <si>
    <t>4003 (Int 560)</t>
  </si>
  <si>
    <t>RUT: 69061200-3</t>
  </si>
  <si>
    <t>3775 (Int 554)</t>
  </si>
  <si>
    <t>4004 (Int 559)</t>
  </si>
  <si>
    <t>4213 (Int 575)</t>
  </si>
  <si>
    <t>2523- Int 662</t>
  </si>
  <si>
    <t>2395-Int 595- Int 630</t>
  </si>
  <si>
    <t>1900- Int 661</t>
  </si>
  <si>
    <t>1949-660</t>
  </si>
  <si>
    <t>2535- Int 658</t>
  </si>
  <si>
    <t>2054- Int 659</t>
  </si>
  <si>
    <t>1907- Int 657</t>
  </si>
  <si>
    <t>2117-add</t>
  </si>
  <si>
    <t>Observaciones:</t>
  </si>
  <si>
    <t>En sigfe se registra en el 3° Trimestre según rut de la comuna un monto de $225.576.708, presenta una diferencia de $2.815.691 el cual corresponde a recursos liberados por el programa Chile Crece Contigo, los cuales estan registrados en el rut del servicio de salud.</t>
  </si>
  <si>
    <t>CHCC</t>
  </si>
  <si>
    <t>En sigfe se registra entre el 3° Trimestre según rut de la comuna un monto de $1.323.667.585, presenta una diferencia de $52.485.049 el cual corresponde a recursos liberados y registrados al rut del servicio de Salud.</t>
  </si>
  <si>
    <t>En sigfe se registra entre el 3° Trimestre según rut de la comuna un monto de $1.115.074.940, presenta una diferencia de $72.363.791 el cual corresponde a recursos liberados y registrados al rut del servicio de Salud.</t>
  </si>
  <si>
    <t>En sigfe se registra entre el 3° Trimestre según rut de la comuna un monto de $809.533.424, presenta una diferencia de $12.258.897 el cual corresponde a recursos liberados y registrados al rut del servicio de Salud.</t>
  </si>
  <si>
    <t>En sigfe se registra entre el 3° Trimestre según rut de la comuna un monto de $483.186.478, presenta una diferencia de $3.254.867 el cual corresponde a recursos liberados y registrados al rut del servicio de Salud.</t>
  </si>
  <si>
    <t>En sigfe se registra entre el 3° Trimestre según rut de la comuna un monto de $1.013.142.347, presenta una diferencia de $15.738.007 el cual corresponde a recursos liberados y registrados al rut del servicio de Salud.</t>
  </si>
  <si>
    <t>En sigfe se registra entre el 3° Trimestre según rut de la comuna un monto de $669.658.094, presenta una diferencia de $11.938.244 el cual corresponde a recursos liberados y registrados al rut del servicio de Salud.</t>
  </si>
  <si>
    <t>En sigfe se registra entre el 3° Trimestre según rut de la comuna un monto de $591.057.441, presenta una diferencia de $17.734.168 el cual corresponde a recursos liberados y registrados al rut del servicio de Salud.</t>
  </si>
  <si>
    <t>En sigfe se registra entre el 3° Trimestre según rut de la comuna un monto de $246.685.735, presenta una diferencia de $8.970.247 el cual corresponde a recursos liberados y registrados al rut del servicio de Salud.</t>
  </si>
  <si>
    <t>En sigfe se registra entre el 3° Trimestre según rut de la comuna un monto de $347.862.267, presenta una diferencia de $10.888.907 el cual corresponde a recursos liberados y registrados al rut del servicio de Salud.</t>
  </si>
  <si>
    <t>En sigfe se registra entre el 3° Trimestre según rut de la comuna un monto de $610.376.969, presenta una diferencia de $28.792.341 el cual corresponde a recursos liberados y registrados al rut del servicio de Salud.</t>
  </si>
  <si>
    <t>En sigfe se registra entre el 3° Trimestre según rut de la comuna un monto de $2.445.586.046, presenta una diferencia de $62.990.997 el cual corresponde a recursos liberados y registrados al rut del servicio de Salud.</t>
  </si>
  <si>
    <t>En sigfe se registra entre el 3° Trimestre según rut de la comuna un monto de $3.327.949.228, presenta una diferencia de $106.315.886 el cual corresponde a recursos liberados y registrados al rut del servicio de Salud.</t>
  </si>
  <si>
    <t>En sigfe se registra entre el 3° Trimestre según rut de la comuna un monto de $325.780.758, presenta una diferencia de $2.633.794 el cual corresponde a recursos liberados y registrados al rut del servicio de Salud.</t>
  </si>
  <si>
    <t>En sigfe se registra entre el 3° Trimestre según rut de la comuna un monto de $2.529.217.586, presenta una diferencia de $45.696.378 el cual corresponde a recursos liberados y registrados al rut del servicio de Salud.</t>
  </si>
  <si>
    <t>En sigfe se registra entre el 3° Trimestre según rut de la comuna un monto de $7.618.717.721, presenta una diferencia de $38.519.409 el cual corresponde a recursos liberados y registrados al rut del servicio de Salud.</t>
  </si>
  <si>
    <t>En sigfe se registra entre el 3° Trimestre según rut de la comuna un monto de $310.521.023, presenta una diferencia de $6.676.254 el cual corresponde a recursos liberados y registrados al rut del servicio de Salud.</t>
  </si>
  <si>
    <t>2028-4935</t>
  </si>
  <si>
    <t>1245-4915</t>
  </si>
  <si>
    <t>1841- Int 684</t>
  </si>
  <si>
    <t>AGL Bioseguridad</t>
  </si>
  <si>
    <t>Int 683</t>
  </si>
  <si>
    <t>Int 682</t>
  </si>
  <si>
    <t>Int 681</t>
  </si>
  <si>
    <t>Int 680</t>
  </si>
  <si>
    <t>Int 676</t>
  </si>
  <si>
    <t xml:space="preserve">AGL Bioseguridad </t>
  </si>
  <si>
    <t>Int 675</t>
  </si>
  <si>
    <t>Int 674</t>
  </si>
  <si>
    <t>Int 673</t>
  </si>
  <si>
    <t>Int 672</t>
  </si>
  <si>
    <t>Int 671</t>
  </si>
  <si>
    <t>Int 670</t>
  </si>
  <si>
    <t>Int 669</t>
  </si>
  <si>
    <t>1730- mod 4936</t>
  </si>
  <si>
    <t>1244-4914</t>
  </si>
  <si>
    <t>2628- ADD 4292</t>
  </si>
  <si>
    <t>SUB TOTAL PER-CAPITA</t>
  </si>
  <si>
    <t>SUB TOTAL REFORZAMIENTO-LEYES</t>
  </si>
  <si>
    <t>TOTAL PER CAPITA</t>
  </si>
  <si>
    <t xml:space="preserve"> LEYES</t>
  </si>
  <si>
    <t>RETIRO</t>
  </si>
  <si>
    <t xml:space="preserve">TOTAL REFORZAMIENTO </t>
  </si>
  <si>
    <t>ASIGNACIÒN</t>
  </si>
  <si>
    <t>OTROS REFORZAMIENTO</t>
  </si>
  <si>
    <t>Modf. 1065</t>
  </si>
  <si>
    <t>Odontologico</t>
  </si>
  <si>
    <t>RESOLUTIVIDA</t>
  </si>
  <si>
    <t>COVID-19</t>
  </si>
  <si>
    <t>FORTALECIMIENTO</t>
  </si>
  <si>
    <t>FONASA</t>
  </si>
  <si>
    <t>1°PER-CAPITA</t>
  </si>
  <si>
    <t>2° LEYES</t>
  </si>
  <si>
    <t>4° INCENTIVO</t>
  </si>
  <si>
    <t>3° CHCC</t>
  </si>
  <si>
    <t>5° PRAPS</t>
  </si>
  <si>
    <t>6° COVID-19</t>
  </si>
  <si>
    <t>ok</t>
  </si>
  <si>
    <t>1985- 4317 (Int 590)- ADD 5860</t>
  </si>
  <si>
    <t>1959-ADD 2179- 4318 (Int 589)-5623</t>
  </si>
  <si>
    <t>1868-ADD 2177- Int 593-5723</t>
  </si>
  <si>
    <t>1963-ADD 2180- ADD Int 615-5634</t>
  </si>
  <si>
    <t>BONO TRATO AL USUARIO</t>
  </si>
  <si>
    <t>1984- ADD 2181- Int 594-5868</t>
  </si>
  <si>
    <t>AGL Puesta en Marcha</t>
  </si>
  <si>
    <t>1849- ADD 2182- Int 569-5761</t>
  </si>
  <si>
    <t>1866-ADD 2183- Int 601-5763</t>
  </si>
  <si>
    <t>1871-ADD 2184- Int 602-5859</t>
  </si>
  <si>
    <t>1862-ADD 2185- Int 591-5745</t>
  </si>
  <si>
    <t>1860- ADD 2186-Int 6005760</t>
  </si>
  <si>
    <t>2056-ADD 2187- ADD 2623- Int 570-5762</t>
  </si>
  <si>
    <t>3696 (Int 550)-6049</t>
  </si>
  <si>
    <t>2057- ADD 2188-ADD 2624- Int 605-6045</t>
  </si>
  <si>
    <t>2021- ADD 2191- Int 603-5967</t>
  </si>
  <si>
    <t>1861-ADD 2192- ADD 2626- Int 592-6062</t>
  </si>
  <si>
    <t>1856- ADD 2190- ADD 2625- ADD 4485 (Int 614) -5867</t>
  </si>
  <si>
    <t>1870- ADD 2189- Int 596-5759</t>
  </si>
  <si>
    <t>1242-3551-4917</t>
  </si>
  <si>
    <t>Fortalecimiento RRHH- PAÑALES</t>
  </si>
  <si>
    <t>Int 747</t>
  </si>
  <si>
    <t>Int 745</t>
  </si>
  <si>
    <t>Int 755</t>
  </si>
  <si>
    <t>1595-6402</t>
  </si>
  <si>
    <t>1869-ADD 2176- ADD 2619- Int 599-5966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</si>
</sst>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_ &quot;$&quot;* #,##0_ ;_ &quot;$&quot;* \-#,##0_ ;_ &quot;$&quot;* &quot;-&quot;_ ;_ @_ "/>
    <numFmt numFmtId="166" formatCode="_ * #,##0_ ;_ * \-#,##0_ ;_ * &quot;-&quot;_ ;_ @_ "/>
    <numFmt numFmtId="167" formatCode="_-* #,##0\ _€_-;\-* #,##0\ _€_-;_-* &quot;-&quot;??\ _€_-;_-@_-"/>
    <numFmt numFmtId="168" formatCode="_(* #,##0_);_(* \(#,##0\);_(* &quot;-&quot;??_);_(@_)"/>
    <numFmt numFmtId="169" formatCode="#,##0_ ;[Red]\-#,##0\ "/>
    <numFmt numFmtId="170" formatCode="&quot;$&quot;#,##0"/>
    <numFmt numFmtId="171" formatCode="0.000000%"/>
    <numFmt numFmtId="172" formatCode="&quot;$&quot;\ #,##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rgb="FFFF0000"/>
      <name val="Bahnschrift Light SemiCondensed"/>
      <family val="2"/>
    </font>
    <font>
      <sz val="11"/>
      <name val="Bahnschrift Light SemiCondensed"/>
      <family val="2"/>
    </font>
    <font>
      <sz val="12"/>
      <color rgb="FFFF0000"/>
      <name val="Bahnschrift Light SemiCondensed"/>
      <family val="2"/>
    </font>
    <font>
      <b/>
      <sz val="11"/>
      <color rgb="FF000099"/>
      <name val="Calibri"/>
      <family val="2"/>
      <scheme val="minor"/>
    </font>
    <font>
      <b/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sz val="12"/>
      <name val="Bahnschrift Light SemiCondensed"/>
      <family val="2"/>
    </font>
    <font>
      <b/>
      <sz val="11"/>
      <name val="Bahnschrift Light SemiCondensed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Bahnschrift Light SemiCondensed"/>
      <family val="2"/>
    </font>
    <font>
      <sz val="11"/>
      <color rgb="FFFF0000"/>
      <name val="Bahnschrift Light SemiCondensed"/>
      <family val="2"/>
    </font>
    <font>
      <b/>
      <u val="singleAccounting"/>
      <sz val="11"/>
      <color theme="1"/>
      <name val="Bahnschrift Light SemiCondensed"/>
      <family val="2"/>
    </font>
    <font>
      <b/>
      <sz val="10"/>
      <color rgb="FF000099"/>
      <name val="Arial"/>
      <family val="2"/>
    </font>
    <font>
      <sz val="11"/>
      <color theme="4" tint="-0.249977111117893"/>
      <name val="Bahnschrift Light SemiCondensed"/>
      <family val="2"/>
    </font>
    <font>
      <sz val="11"/>
      <color theme="8"/>
      <name val="Bahnschrift Light SemiCondensed"/>
      <family val="2"/>
    </font>
    <font>
      <sz val="11"/>
      <color rgb="FFCC00FF"/>
      <name val="Bahnschrift Light SemiCondensed"/>
      <family val="2"/>
    </font>
  </fonts>
  <fills count="2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4">
    <xf numFmtId="0" fontId="0" fillId="0" borderId="0" xfId="0"/>
    <xf numFmtId="0" fontId="2" fillId="0" borderId="0" xfId="0" applyFont="1"/>
    <xf numFmtId="0" fontId="3" fillId="0" borderId="0" xfId="0" applyFont="1" applyProtection="1"/>
    <xf numFmtId="0" fontId="5" fillId="0" borderId="0" xfId="0" applyFont="1"/>
    <xf numFmtId="0" fontId="2" fillId="0" borderId="0" xfId="0" applyFont="1" applyAlignment="1">
      <alignment horizontal="center"/>
    </xf>
    <xf numFmtId="9" fontId="2" fillId="0" borderId="0" xfId="2" applyFont="1" applyAlignment="1">
      <alignment horizontal="center"/>
    </xf>
    <xf numFmtId="167" fontId="2" fillId="0" borderId="0" xfId="1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7" fontId="2" fillId="0" borderId="1" xfId="1" applyNumberFormat="1" applyFont="1" applyBorder="1"/>
    <xf numFmtId="0" fontId="2" fillId="0" borderId="1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167" fontId="2" fillId="0" borderId="7" xfId="1" applyNumberFormat="1" applyFont="1" applyBorder="1"/>
    <xf numFmtId="167" fontId="2" fillId="0" borderId="10" xfId="1" applyNumberFormat="1" applyFont="1" applyBorder="1"/>
    <xf numFmtId="9" fontId="2" fillId="0" borderId="1" xfId="2" applyFont="1" applyBorder="1" applyAlignment="1">
      <alignment horizontal="center"/>
    </xf>
    <xf numFmtId="9" fontId="2" fillId="0" borderId="6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12" xfId="0" applyFont="1" applyBorder="1"/>
    <xf numFmtId="0" fontId="6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167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7" fontId="6" fillId="0" borderId="22" xfId="1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167" fontId="2" fillId="0" borderId="17" xfId="1" applyNumberFormat="1" applyFont="1" applyBorder="1"/>
    <xf numFmtId="167" fontId="2" fillId="0" borderId="19" xfId="1" applyNumberFormat="1" applyFont="1" applyBorder="1"/>
    <xf numFmtId="167" fontId="2" fillId="0" borderId="6" xfId="1" applyNumberFormat="1" applyFont="1" applyBorder="1"/>
    <xf numFmtId="167" fontId="2" fillId="0" borderId="24" xfId="1" applyNumberFormat="1" applyFont="1" applyBorder="1"/>
    <xf numFmtId="167" fontId="2" fillId="0" borderId="25" xfId="1" applyNumberFormat="1" applyFont="1" applyBorder="1"/>
    <xf numFmtId="167" fontId="2" fillId="0" borderId="3" xfId="1" applyNumberFormat="1" applyFont="1" applyBorder="1"/>
    <xf numFmtId="167" fontId="2" fillId="0" borderId="4" xfId="1" applyNumberFormat="1" applyFont="1" applyBorder="1"/>
    <xf numFmtId="167" fontId="2" fillId="0" borderId="5" xfId="1" applyNumberFormat="1" applyFont="1" applyBorder="1"/>
    <xf numFmtId="167" fontId="6" fillId="0" borderId="16" xfId="1" applyNumberFormat="1" applyFont="1" applyBorder="1"/>
    <xf numFmtId="167" fontId="6" fillId="0" borderId="6" xfId="1" applyNumberFormat="1" applyFont="1" applyBorder="1"/>
    <xf numFmtId="167" fontId="2" fillId="0" borderId="28" xfId="1" applyNumberFormat="1" applyFont="1" applyBorder="1"/>
    <xf numFmtId="9" fontId="2" fillId="0" borderId="29" xfId="2" applyFont="1" applyBorder="1" applyAlignment="1">
      <alignment horizontal="center"/>
    </xf>
    <xf numFmtId="9" fontId="2" fillId="0" borderId="30" xfId="2" applyFont="1" applyBorder="1" applyAlignment="1">
      <alignment horizontal="center"/>
    </xf>
    <xf numFmtId="9" fontId="2" fillId="0" borderId="28" xfId="2" applyFont="1" applyBorder="1" applyAlignment="1">
      <alignment horizontal="center"/>
    </xf>
    <xf numFmtId="167" fontId="6" fillId="0" borderId="29" xfId="1" applyNumberFormat="1" applyFont="1" applyBorder="1"/>
    <xf numFmtId="167" fontId="2" fillId="0" borderId="30" xfId="1" applyNumberFormat="1" applyFont="1" applyBorder="1"/>
    <xf numFmtId="167" fontId="2" fillId="0" borderId="29" xfId="1" applyNumberFormat="1" applyFont="1" applyBorder="1"/>
    <xf numFmtId="167" fontId="2" fillId="0" borderId="31" xfId="1" applyNumberFormat="1" applyFont="1" applyBorder="1"/>
    <xf numFmtId="0" fontId="6" fillId="0" borderId="29" xfId="0" applyFont="1" applyBorder="1" applyAlignment="1">
      <alignment horizontal="center"/>
    </xf>
    <xf numFmtId="0" fontId="2" fillId="0" borderId="30" xfId="0" applyFont="1" applyBorder="1"/>
    <xf numFmtId="0" fontId="2" fillId="0" borderId="30" xfId="0" applyFont="1" applyBorder="1" applyAlignment="1">
      <alignment horizontal="left"/>
    </xf>
    <xf numFmtId="167" fontId="2" fillId="0" borderId="33" xfId="1" applyNumberFormat="1" applyFont="1" applyBorder="1"/>
    <xf numFmtId="167" fontId="2" fillId="0" borderId="34" xfId="1" applyNumberFormat="1" applyFont="1" applyBorder="1"/>
    <xf numFmtId="0" fontId="6" fillId="0" borderId="2" xfId="0" applyFont="1" applyBorder="1" applyAlignment="1">
      <alignment horizontal="center" vertical="center" wrapText="1"/>
    </xf>
    <xf numFmtId="0" fontId="9" fillId="0" borderId="21" xfId="0" applyFont="1" applyBorder="1"/>
    <xf numFmtId="167" fontId="9" fillId="0" borderId="22" xfId="1" applyNumberFormat="1" applyFont="1" applyBorder="1"/>
    <xf numFmtId="9" fontId="9" fillId="0" borderId="20" xfId="2" applyFont="1" applyBorder="1" applyAlignment="1">
      <alignment horizontal="center"/>
    </xf>
    <xf numFmtId="9" fontId="9" fillId="0" borderId="21" xfId="2" applyFont="1" applyBorder="1" applyAlignment="1">
      <alignment horizontal="center"/>
    </xf>
    <xf numFmtId="9" fontId="9" fillId="0" borderId="22" xfId="2" applyFont="1" applyBorder="1" applyAlignment="1">
      <alignment horizontal="center"/>
    </xf>
    <xf numFmtId="167" fontId="9" fillId="0" borderId="20" xfId="1" applyNumberFormat="1" applyFont="1" applyBorder="1"/>
    <xf numFmtId="167" fontId="9" fillId="0" borderId="21" xfId="1" applyNumberFormat="1" applyFont="1" applyBorder="1"/>
    <xf numFmtId="167" fontId="9" fillId="0" borderId="2" xfId="1" applyNumberFormat="1" applyFont="1" applyBorder="1"/>
    <xf numFmtId="168" fontId="10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167" fontId="6" fillId="0" borderId="1" xfId="1" applyNumberFormat="1" applyFont="1" applyBorder="1"/>
    <xf numFmtId="0" fontId="2" fillId="0" borderId="6" xfId="0" applyFont="1" applyBorder="1"/>
    <xf numFmtId="0" fontId="2" fillId="2" borderId="12" xfId="0" applyFont="1" applyFill="1" applyBorder="1"/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67" fontId="6" fillId="3" borderId="22" xfId="1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2" fillId="7" borderId="12" xfId="0" applyFont="1" applyFill="1" applyBorder="1"/>
    <xf numFmtId="0" fontId="6" fillId="12" borderId="20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167" fontId="6" fillId="12" borderId="23" xfId="1" applyNumberFormat="1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  <xf numFmtId="167" fontId="2" fillId="12" borderId="2" xfId="1" applyNumberFormat="1" applyFont="1" applyFill="1" applyBorder="1"/>
    <xf numFmtId="0" fontId="2" fillId="12" borderId="32" xfId="0" applyFont="1" applyFill="1" applyBorder="1" applyAlignment="1">
      <alignment horizontal="center"/>
    </xf>
    <xf numFmtId="0" fontId="2" fillId="12" borderId="38" xfId="0" applyFont="1" applyFill="1" applyBorder="1" applyAlignment="1">
      <alignment horizontal="center"/>
    </xf>
    <xf numFmtId="0" fontId="2" fillId="12" borderId="36" xfId="0" applyFont="1" applyFill="1" applyBorder="1" applyAlignment="1">
      <alignment horizontal="center"/>
    </xf>
    <xf numFmtId="0" fontId="6" fillId="3" borderId="21" xfId="0" applyFont="1" applyFill="1" applyBorder="1"/>
    <xf numFmtId="167" fontId="6" fillId="3" borderId="22" xfId="1" applyNumberFormat="1" applyFont="1" applyFill="1" applyBorder="1"/>
    <xf numFmtId="9" fontId="6" fillId="3" borderId="20" xfId="2" applyFont="1" applyFill="1" applyBorder="1" applyAlignment="1">
      <alignment horizontal="center"/>
    </xf>
    <xf numFmtId="9" fontId="6" fillId="3" borderId="21" xfId="2" applyFont="1" applyFill="1" applyBorder="1" applyAlignment="1">
      <alignment horizontal="center"/>
    </xf>
    <xf numFmtId="9" fontId="6" fillId="3" borderId="22" xfId="2" applyFont="1" applyFill="1" applyBorder="1" applyAlignment="1">
      <alignment horizontal="center"/>
    </xf>
    <xf numFmtId="0" fontId="9" fillId="3" borderId="21" xfId="0" applyFont="1" applyFill="1" applyBorder="1"/>
    <xf numFmtId="167" fontId="9" fillId="3" borderId="22" xfId="1" applyNumberFormat="1" applyFont="1" applyFill="1" applyBorder="1"/>
    <xf numFmtId="9" fontId="9" fillId="3" borderId="20" xfId="2" applyFont="1" applyFill="1" applyBorder="1" applyAlignment="1">
      <alignment horizontal="center"/>
    </xf>
    <xf numFmtId="9" fontId="9" fillId="3" borderId="21" xfId="2" applyFont="1" applyFill="1" applyBorder="1" applyAlignment="1">
      <alignment horizontal="center"/>
    </xf>
    <xf numFmtId="9" fontId="9" fillId="3" borderId="22" xfId="2" applyFont="1" applyFill="1" applyBorder="1" applyAlignment="1">
      <alignment horizontal="center"/>
    </xf>
    <xf numFmtId="0" fontId="2" fillId="3" borderId="9" xfId="0" applyFont="1" applyFill="1" applyBorder="1"/>
    <xf numFmtId="167" fontId="2" fillId="3" borderId="11" xfId="1" applyNumberFormat="1" applyFont="1" applyFill="1" applyBorder="1"/>
    <xf numFmtId="9" fontId="2" fillId="3" borderId="8" xfId="2" applyFont="1" applyFill="1" applyBorder="1" applyAlignment="1">
      <alignment horizontal="center"/>
    </xf>
    <xf numFmtId="9" fontId="2" fillId="3" borderId="9" xfId="2" applyFont="1" applyFill="1" applyBorder="1" applyAlignment="1">
      <alignment horizontal="center"/>
    </xf>
    <xf numFmtId="9" fontId="2" fillId="3" borderId="11" xfId="2" applyFont="1" applyFill="1" applyBorder="1" applyAlignment="1">
      <alignment horizontal="center"/>
    </xf>
    <xf numFmtId="0" fontId="6" fillId="3" borderId="2" xfId="0" applyFont="1" applyFill="1" applyBorder="1"/>
    <xf numFmtId="167" fontId="6" fillId="3" borderId="32" xfId="1" applyNumberFormat="1" applyFont="1" applyFill="1" applyBorder="1"/>
    <xf numFmtId="0" fontId="2" fillId="3" borderId="21" xfId="0" applyFont="1" applyFill="1" applyBorder="1"/>
    <xf numFmtId="167" fontId="2" fillId="3" borderId="22" xfId="1" applyNumberFormat="1" applyFont="1" applyFill="1" applyBorder="1"/>
    <xf numFmtId="9" fontId="2" fillId="3" borderId="20" xfId="2" applyFont="1" applyFill="1" applyBorder="1" applyAlignment="1">
      <alignment horizontal="center"/>
    </xf>
    <xf numFmtId="9" fontId="2" fillId="3" borderId="21" xfId="2" applyFont="1" applyFill="1" applyBorder="1" applyAlignment="1">
      <alignment horizontal="center"/>
    </xf>
    <xf numFmtId="9" fontId="2" fillId="3" borderId="22" xfId="2" applyFont="1" applyFill="1" applyBorder="1" applyAlignment="1">
      <alignment horizontal="center"/>
    </xf>
    <xf numFmtId="167" fontId="6" fillId="11" borderId="20" xfId="1" applyNumberFormat="1" applyFont="1" applyFill="1" applyBorder="1"/>
    <xf numFmtId="167" fontId="2" fillId="11" borderId="8" xfId="1" applyNumberFormat="1" applyFont="1" applyFill="1" applyBorder="1"/>
    <xf numFmtId="167" fontId="2" fillId="11" borderId="9" xfId="1" applyNumberFormat="1" applyFont="1" applyFill="1" applyBorder="1"/>
    <xf numFmtId="167" fontId="2" fillId="11" borderId="27" xfId="1" applyNumberFormat="1" applyFont="1" applyFill="1" applyBorder="1"/>
    <xf numFmtId="167" fontId="2" fillId="11" borderId="20" xfId="0" applyNumberFormat="1" applyFont="1" applyFill="1" applyBorder="1"/>
    <xf numFmtId="167" fontId="2" fillId="8" borderId="20" xfId="0" applyNumberFormat="1" applyFont="1" applyFill="1" applyBorder="1"/>
    <xf numFmtId="167" fontId="2" fillId="8" borderId="21" xfId="0" applyNumberFormat="1" applyFont="1" applyFill="1" applyBorder="1"/>
    <xf numFmtId="0" fontId="6" fillId="5" borderId="23" xfId="0" applyFont="1" applyFill="1" applyBorder="1" applyAlignment="1">
      <alignment horizontal="center" vertical="center" wrapText="1"/>
    </xf>
    <xf numFmtId="167" fontId="6" fillId="5" borderId="2" xfId="1" applyNumberFormat="1" applyFont="1" applyFill="1" applyBorder="1"/>
    <xf numFmtId="167" fontId="9" fillId="5" borderId="2" xfId="1" applyNumberFormat="1" applyFont="1" applyFill="1" applyBorder="1"/>
    <xf numFmtId="167" fontId="2" fillId="5" borderId="26" xfId="1" applyNumberFormat="1" applyFont="1" applyFill="1" applyBorder="1"/>
    <xf numFmtId="167" fontId="2" fillId="5" borderId="2" xfId="1" applyNumberFormat="1" applyFont="1" applyFill="1" applyBorder="1"/>
    <xf numFmtId="167" fontId="2" fillId="4" borderId="24" xfId="1" applyNumberFormat="1" applyFont="1" applyFill="1" applyBorder="1"/>
    <xf numFmtId="167" fontId="2" fillId="4" borderId="25" xfId="1" applyNumberFormat="1" applyFont="1" applyFill="1" applyBorder="1"/>
    <xf numFmtId="167" fontId="2" fillId="5" borderId="2" xfId="0" applyNumberFormat="1" applyFont="1" applyFill="1" applyBorder="1"/>
    <xf numFmtId="167" fontId="6" fillId="9" borderId="2" xfId="1" applyNumberFormat="1" applyFont="1" applyFill="1" applyBorder="1"/>
    <xf numFmtId="0" fontId="6" fillId="9" borderId="32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7" fontId="6" fillId="9" borderId="20" xfId="0" applyNumberFormat="1" applyFont="1" applyFill="1" applyBorder="1"/>
    <xf numFmtId="167" fontId="6" fillId="9" borderId="21" xfId="0" applyNumberFormat="1" applyFont="1" applyFill="1" applyBorder="1"/>
    <xf numFmtId="167" fontId="6" fillId="9" borderId="22" xfId="0" applyNumberFormat="1" applyFont="1" applyFill="1" applyBorder="1"/>
    <xf numFmtId="167" fontId="6" fillId="9" borderId="2" xfId="0" applyNumberFormat="1" applyFont="1" applyFill="1" applyBorder="1"/>
    <xf numFmtId="167" fontId="9" fillId="9" borderId="2" xfId="1" applyNumberFormat="1" applyFont="1" applyFill="1" applyBorder="1"/>
    <xf numFmtId="168" fontId="6" fillId="9" borderId="21" xfId="0" applyNumberFormat="1" applyFont="1" applyFill="1" applyBorder="1"/>
    <xf numFmtId="167" fontId="0" fillId="0" borderId="0" xfId="1" applyNumberFormat="1" applyFont="1"/>
    <xf numFmtId="0" fontId="6" fillId="0" borderId="1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2" fillId="0" borderId="6" xfId="1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167" fontId="2" fillId="0" borderId="16" xfId="1" applyNumberFormat="1" applyFont="1" applyBorder="1" applyAlignment="1">
      <alignment horizontal="center"/>
    </xf>
    <xf numFmtId="167" fontId="2" fillId="0" borderId="17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1" xfId="1" applyNumberFormat="1" applyFont="1" applyBorder="1" applyAlignment="1">
      <alignment horizontal="center"/>
    </xf>
    <xf numFmtId="167" fontId="2" fillId="0" borderId="16" xfId="1" applyNumberFormat="1" applyFont="1" applyBorder="1"/>
    <xf numFmtId="0" fontId="6" fillId="0" borderId="30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9" fontId="2" fillId="0" borderId="0" xfId="2" applyFont="1"/>
    <xf numFmtId="167" fontId="2" fillId="0" borderId="3" xfId="1" applyNumberFormat="1" applyFont="1" applyBorder="1" applyAlignment="1">
      <alignment horizontal="center"/>
    </xf>
    <xf numFmtId="167" fontId="2" fillId="0" borderId="4" xfId="1" applyNumberFormat="1" applyFont="1" applyBorder="1" applyAlignment="1">
      <alignment horizontal="center"/>
    </xf>
    <xf numFmtId="168" fontId="10" fillId="0" borderId="4" xfId="0" applyNumberFormat="1" applyFont="1" applyBorder="1"/>
    <xf numFmtId="167" fontId="2" fillId="0" borderId="41" xfId="1" applyNumberFormat="1" applyFont="1" applyBorder="1"/>
    <xf numFmtId="167" fontId="2" fillId="0" borderId="42" xfId="1" applyNumberFormat="1" applyFont="1" applyBorder="1"/>
    <xf numFmtId="167" fontId="2" fillId="0" borderId="43" xfId="1" applyNumberFormat="1" applyFont="1" applyBorder="1"/>
    <xf numFmtId="168" fontId="10" fillId="0" borderId="5" xfId="0" applyNumberFormat="1" applyFont="1" applyBorder="1"/>
    <xf numFmtId="168" fontId="10" fillId="0" borderId="7" xfId="0" applyNumberFormat="1" applyFont="1" applyBorder="1"/>
    <xf numFmtId="167" fontId="2" fillId="0" borderId="34" xfId="1" applyNumberFormat="1" applyFont="1" applyBorder="1" applyAlignment="1">
      <alignment horizontal="center"/>
    </xf>
    <xf numFmtId="167" fontId="2" fillId="0" borderId="18" xfId="1" applyNumberFormat="1" applyFont="1" applyBorder="1" applyAlignment="1">
      <alignment horizontal="center"/>
    </xf>
    <xf numFmtId="167" fontId="2" fillId="0" borderId="10" xfId="1" applyNumberFormat="1" applyFont="1" applyBorder="1" applyAlignment="1">
      <alignment horizontal="center"/>
    </xf>
    <xf numFmtId="0" fontId="6" fillId="8" borderId="13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167" fontId="10" fillId="0" borderId="4" xfId="1" applyNumberFormat="1" applyFont="1" applyBorder="1"/>
    <xf numFmtId="167" fontId="10" fillId="0" borderId="1" xfId="1" applyNumberFormat="1" applyFont="1" applyBorder="1"/>
    <xf numFmtId="0" fontId="6" fillId="11" borderId="12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2" fillId="0" borderId="0" xfId="0" applyNumberFormat="1" applyFont="1"/>
    <xf numFmtId="166" fontId="2" fillId="0" borderId="6" xfId="3" applyFont="1" applyBorder="1" applyAlignment="1">
      <alignment horizontal="center"/>
    </xf>
    <xf numFmtId="166" fontId="2" fillId="0" borderId="1" xfId="3" applyFont="1" applyBorder="1" applyAlignment="1">
      <alignment horizontal="center"/>
    </xf>
    <xf numFmtId="168" fontId="10" fillId="0" borderId="0" xfId="0" applyNumberFormat="1" applyFont="1"/>
    <xf numFmtId="167" fontId="2" fillId="0" borderId="29" xfId="1" applyNumberFormat="1" applyFont="1" applyBorder="1" applyAlignment="1">
      <alignment horizontal="center"/>
    </xf>
    <xf numFmtId="167" fontId="2" fillId="0" borderId="30" xfId="1" applyNumberFormat="1" applyFont="1" applyBorder="1" applyAlignment="1">
      <alignment horizontal="center"/>
    </xf>
    <xf numFmtId="167" fontId="2" fillId="0" borderId="28" xfId="1" applyNumberFormat="1" applyFont="1" applyBorder="1" applyAlignment="1">
      <alignment horizontal="center"/>
    </xf>
    <xf numFmtId="0" fontId="2" fillId="0" borderId="29" xfId="0" applyFont="1" applyBorder="1"/>
    <xf numFmtId="166" fontId="2" fillId="0" borderId="29" xfId="3" applyFont="1" applyBorder="1" applyAlignment="1">
      <alignment horizontal="center"/>
    </xf>
    <xf numFmtId="166" fontId="2" fillId="0" borderId="30" xfId="3" applyFont="1" applyBorder="1" applyAlignment="1">
      <alignment horizontal="center"/>
    </xf>
    <xf numFmtId="167" fontId="2" fillId="8" borderId="23" xfId="0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7" fontId="2" fillId="0" borderId="10" xfId="1" applyNumberFormat="1" applyFont="1" applyBorder="1" applyAlignment="1">
      <alignment vertical="center"/>
    </xf>
    <xf numFmtId="167" fontId="2" fillId="0" borderId="6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vertical="center"/>
    </xf>
    <xf numFmtId="167" fontId="2" fillId="0" borderId="7" xfId="1" applyNumberFormat="1" applyFont="1" applyBorder="1" applyAlignment="1">
      <alignment vertical="center"/>
    </xf>
    <xf numFmtId="167" fontId="2" fillId="0" borderId="42" xfId="1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167" fontId="2" fillId="0" borderId="6" xfId="1" applyNumberFormat="1" applyFont="1" applyBorder="1" applyAlignment="1">
      <alignment vertical="center"/>
    </xf>
    <xf numFmtId="166" fontId="2" fillId="0" borderId="1" xfId="3" applyFont="1" applyBorder="1" applyAlignment="1">
      <alignment horizontal="center" vertical="center"/>
    </xf>
    <xf numFmtId="0" fontId="9" fillId="14" borderId="1" xfId="0" applyFont="1" applyFill="1" applyBorder="1" applyAlignment="1">
      <alignment horizontal="center"/>
    </xf>
    <xf numFmtId="167" fontId="2" fillId="14" borderId="1" xfId="1" applyNumberFormat="1" applyFont="1" applyFill="1" applyBorder="1"/>
    <xf numFmtId="167" fontId="2" fillId="14" borderId="1" xfId="1" applyNumberFormat="1" applyFont="1" applyFill="1" applyBorder="1" applyAlignment="1">
      <alignment horizontal="center"/>
    </xf>
    <xf numFmtId="168" fontId="10" fillId="14" borderId="1" xfId="0" applyNumberFormat="1" applyFont="1" applyFill="1" applyBorder="1"/>
    <xf numFmtId="167" fontId="2" fillId="14" borderId="17" xfId="1" applyNumberFormat="1" applyFont="1" applyFill="1" applyBorder="1"/>
    <xf numFmtId="0" fontId="9" fillId="14" borderId="17" xfId="0" applyFont="1" applyFill="1" applyBorder="1" applyAlignment="1">
      <alignment horizontal="center"/>
    </xf>
    <xf numFmtId="167" fontId="2" fillId="14" borderId="17" xfId="1" applyNumberFormat="1" applyFont="1" applyFill="1" applyBorder="1" applyAlignment="1">
      <alignment horizontal="center"/>
    </xf>
    <xf numFmtId="168" fontId="10" fillId="14" borderId="17" xfId="0" applyNumberFormat="1" applyFont="1" applyFill="1" applyBorder="1"/>
    <xf numFmtId="167" fontId="6" fillId="14" borderId="20" xfId="1" applyNumberFormat="1" applyFont="1" applyFill="1" applyBorder="1" applyAlignment="1">
      <alignment horizontal="center" vertical="center"/>
    </xf>
    <xf numFmtId="167" fontId="6" fillId="14" borderId="21" xfId="1" applyNumberFormat="1" applyFont="1" applyFill="1" applyBorder="1" applyAlignment="1">
      <alignment horizontal="center" vertical="center"/>
    </xf>
    <xf numFmtId="167" fontId="6" fillId="14" borderId="21" xfId="1" applyNumberFormat="1" applyFont="1" applyFill="1" applyBorder="1" applyAlignment="1">
      <alignment horizontal="center" vertical="center" wrapText="1"/>
    </xf>
    <xf numFmtId="9" fontId="6" fillId="14" borderId="21" xfId="2" applyFont="1" applyFill="1" applyBorder="1" applyAlignment="1">
      <alignment horizontal="center" vertical="center"/>
    </xf>
    <xf numFmtId="167" fontId="6" fillId="14" borderId="23" xfId="1" applyNumberFormat="1" applyFont="1" applyFill="1" applyBorder="1" applyAlignment="1">
      <alignment horizontal="center" vertical="center" wrapText="1"/>
    </xf>
    <xf numFmtId="166" fontId="2" fillId="0" borderId="1" xfId="3" applyFont="1" applyBorder="1"/>
    <xf numFmtId="166" fontId="2" fillId="0" borderId="0" xfId="3" applyFont="1"/>
    <xf numFmtId="166" fontId="6" fillId="11" borderId="21" xfId="3" applyFont="1" applyFill="1" applyBorder="1" applyAlignment="1">
      <alignment horizontal="center" vertical="center"/>
    </xf>
    <xf numFmtId="166" fontId="2" fillId="0" borderId="4" xfId="3" applyFont="1" applyBorder="1"/>
    <xf numFmtId="166" fontId="2" fillId="0" borderId="30" xfId="3" applyFont="1" applyBorder="1"/>
    <xf numFmtId="166" fontId="6" fillId="11" borderId="20" xfId="3" applyFont="1" applyFill="1" applyBorder="1"/>
    <xf numFmtId="166" fontId="2" fillId="0" borderId="17" xfId="3" applyFont="1" applyBorder="1"/>
    <xf numFmtId="166" fontId="6" fillId="0" borderId="1" xfId="3" applyFont="1" applyBorder="1"/>
    <xf numFmtId="166" fontId="2" fillId="0" borderId="9" xfId="3" applyFont="1" applyBorder="1"/>
    <xf numFmtId="166" fontId="6" fillId="9" borderId="21" xfId="3" applyFont="1" applyFill="1" applyBorder="1"/>
    <xf numFmtId="166" fontId="6" fillId="11" borderId="23" xfId="3" applyFont="1" applyFill="1" applyBorder="1" applyAlignment="1">
      <alignment horizontal="center" vertical="center" wrapText="1"/>
    </xf>
    <xf numFmtId="166" fontId="10" fillId="0" borderId="1" xfId="3" applyFont="1" applyBorder="1"/>
    <xf numFmtId="166" fontId="2" fillId="0" borderId="5" xfId="3" applyFont="1" applyBorder="1"/>
    <xf numFmtId="166" fontId="2" fillId="0" borderId="19" xfId="3" applyFont="1" applyBorder="1"/>
    <xf numFmtId="166" fontId="10" fillId="0" borderId="4" xfId="3" applyFont="1" applyBorder="1"/>
    <xf numFmtId="166" fontId="2" fillId="0" borderId="7" xfId="3" applyFont="1" applyBorder="1"/>
    <xf numFmtId="166" fontId="2" fillId="0" borderId="33" xfId="3" applyFont="1" applyBorder="1"/>
    <xf numFmtId="166" fontId="6" fillId="11" borderId="22" xfId="3" applyFont="1" applyFill="1" applyBorder="1" applyAlignment="1">
      <alignment horizontal="center" vertical="center"/>
    </xf>
    <xf numFmtId="166" fontId="6" fillId="11" borderId="2" xfId="3" applyFont="1" applyFill="1" applyBorder="1" applyAlignment="1">
      <alignment horizontal="center" vertical="center" wrapText="1"/>
    </xf>
    <xf numFmtId="166" fontId="2" fillId="0" borderId="34" xfId="3" applyFont="1" applyBorder="1"/>
    <xf numFmtId="166" fontId="2" fillId="0" borderId="24" xfId="3" applyFont="1" applyBorder="1"/>
    <xf numFmtId="166" fontId="2" fillId="0" borderId="10" xfId="3" applyFont="1" applyBorder="1"/>
    <xf numFmtId="166" fontId="2" fillId="0" borderId="25" xfId="3" applyFont="1" applyBorder="1"/>
    <xf numFmtId="166" fontId="2" fillId="0" borderId="28" xfId="3" applyFont="1" applyBorder="1"/>
    <xf numFmtId="166" fontId="10" fillId="0" borderId="1" xfId="3" applyFont="1" applyBorder="1" applyAlignment="1">
      <alignment vertical="center"/>
    </xf>
    <xf numFmtId="166" fontId="2" fillId="0" borderId="1" xfId="3" applyFont="1" applyBorder="1" applyAlignment="1">
      <alignment vertical="center"/>
    </xf>
    <xf numFmtId="166" fontId="2" fillId="0" borderId="7" xfId="3" applyFont="1" applyBorder="1" applyAlignment="1">
      <alignment vertical="center"/>
    </xf>
    <xf numFmtId="166" fontId="6" fillId="11" borderId="20" xfId="3" applyFont="1" applyFill="1" applyBorder="1" applyAlignment="1">
      <alignment horizontal="center" vertical="center"/>
    </xf>
    <xf numFmtId="166" fontId="2" fillId="0" borderId="3" xfId="3" applyFont="1" applyBorder="1"/>
    <xf numFmtId="166" fontId="2" fillId="0" borderId="6" xfId="3" applyFont="1" applyBorder="1"/>
    <xf numFmtId="166" fontId="2" fillId="0" borderId="29" xfId="3" applyFont="1" applyBorder="1"/>
    <xf numFmtId="166" fontId="2" fillId="0" borderId="16" xfId="3" applyFont="1" applyBorder="1"/>
    <xf numFmtId="166" fontId="2" fillId="0" borderId="6" xfId="3" applyFont="1" applyBorder="1" applyAlignment="1">
      <alignment vertical="center"/>
    </xf>
    <xf numFmtId="166" fontId="6" fillId="0" borderId="6" xfId="3" applyFont="1" applyBorder="1"/>
    <xf numFmtId="166" fontId="2" fillId="0" borderId="8" xfId="3" applyFont="1" applyBorder="1"/>
    <xf numFmtId="166" fontId="2" fillId="11" borderId="20" xfId="3" applyFont="1" applyFill="1" applyBorder="1"/>
    <xf numFmtId="166" fontId="6" fillId="9" borderId="20" xfId="3" applyFont="1" applyFill="1" applyBorder="1"/>
    <xf numFmtId="166" fontId="4" fillId="0" borderId="0" xfId="3" applyFont="1" applyAlignment="1">
      <alignment horizontal="center" vertical="center"/>
    </xf>
    <xf numFmtId="166" fontId="6" fillId="3" borderId="21" xfId="3" applyFont="1" applyFill="1" applyBorder="1"/>
    <xf numFmtId="166" fontId="9" fillId="11" borderId="20" xfId="3" applyFont="1" applyFill="1" applyBorder="1"/>
    <xf numFmtId="166" fontId="6" fillId="8" borderId="21" xfId="3" applyFont="1" applyFill="1" applyBorder="1" applyAlignment="1">
      <alignment horizontal="center" vertical="center"/>
    </xf>
    <xf numFmtId="166" fontId="6" fillId="8" borderId="22" xfId="3" applyFont="1" applyFill="1" applyBorder="1" applyAlignment="1">
      <alignment horizontal="center" vertical="center"/>
    </xf>
    <xf numFmtId="166" fontId="2" fillId="0" borderId="18" xfId="3" applyFont="1" applyBorder="1"/>
    <xf numFmtId="166" fontId="10" fillId="0" borderId="5" xfId="3" applyFont="1" applyBorder="1"/>
    <xf numFmtId="166" fontId="2" fillId="0" borderId="41" xfId="3" applyFont="1" applyBorder="1"/>
    <xf numFmtId="166" fontId="10" fillId="0" borderId="7" xfId="3" applyFont="1" applyBorder="1"/>
    <xf numFmtId="166" fontId="2" fillId="0" borderId="42" xfId="3" applyFont="1" applyBorder="1"/>
    <xf numFmtId="166" fontId="2" fillId="0" borderId="42" xfId="3" applyFont="1" applyBorder="1" applyAlignment="1">
      <alignment vertical="center"/>
    </xf>
    <xf numFmtId="166" fontId="2" fillId="0" borderId="43" xfId="3" applyFont="1" applyBorder="1"/>
    <xf numFmtId="166" fontId="2" fillId="8" borderId="20" xfId="3" applyFont="1" applyFill="1" applyBorder="1"/>
    <xf numFmtId="166" fontId="2" fillId="8" borderId="21" xfId="3" applyFont="1" applyFill="1" applyBorder="1"/>
    <xf numFmtId="166" fontId="6" fillId="9" borderId="22" xfId="3" applyFont="1" applyFill="1" applyBorder="1"/>
    <xf numFmtId="166" fontId="6" fillId="5" borderId="23" xfId="3" applyFont="1" applyFill="1" applyBorder="1" applyAlignment="1">
      <alignment horizontal="center" vertical="center" wrapText="1"/>
    </xf>
    <xf numFmtId="166" fontId="2" fillId="4" borderId="24" xfId="3" applyFont="1" applyFill="1" applyBorder="1"/>
    <xf numFmtId="166" fontId="2" fillId="4" borderId="25" xfId="3" applyFont="1" applyFill="1" applyBorder="1"/>
    <xf numFmtId="166" fontId="2" fillId="4" borderId="31" xfId="3" applyFont="1" applyFill="1" applyBorder="1"/>
    <xf numFmtId="166" fontId="2" fillId="5" borderId="2" xfId="3" applyFont="1" applyFill="1" applyBorder="1"/>
    <xf numFmtId="166" fontId="2" fillId="4" borderId="37" xfId="3" applyFont="1" applyFill="1" applyBorder="1"/>
    <xf numFmtId="166" fontId="6" fillId="9" borderId="2" xfId="3" applyFont="1" applyFill="1" applyBorder="1"/>
    <xf numFmtId="168" fontId="10" fillId="13" borderId="1" xfId="0" applyNumberFormat="1" applyFont="1" applyFill="1" applyBorder="1"/>
    <xf numFmtId="0" fontId="6" fillId="9" borderId="32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7" fontId="2" fillId="0" borderId="47" xfId="1" applyNumberFormat="1" applyFont="1" applyBorder="1"/>
    <xf numFmtId="167" fontId="6" fillId="0" borderId="42" xfId="1" applyNumberFormat="1" applyFont="1" applyBorder="1"/>
    <xf numFmtId="0" fontId="2" fillId="0" borderId="42" xfId="0" applyFont="1" applyBorder="1"/>
    <xf numFmtId="0" fontId="2" fillId="0" borderId="43" xfId="0" applyFont="1" applyBorder="1"/>
    <xf numFmtId="0" fontId="6" fillId="15" borderId="12" xfId="0" applyFont="1" applyFill="1" applyBorder="1"/>
    <xf numFmtId="0" fontId="9" fillId="15" borderId="12" xfId="0" applyFont="1" applyFill="1" applyBorder="1"/>
    <xf numFmtId="0" fontId="2" fillId="16" borderId="3" xfId="0" applyFont="1" applyFill="1" applyBorder="1"/>
    <xf numFmtId="167" fontId="2" fillId="16" borderId="5" xfId="1" applyNumberFormat="1" applyFont="1" applyFill="1" applyBorder="1"/>
    <xf numFmtId="0" fontId="2" fillId="16" borderId="6" xfId="0" applyFont="1" applyFill="1" applyBorder="1"/>
    <xf numFmtId="167" fontId="2" fillId="16" borderId="7" xfId="1" applyNumberFormat="1" applyFont="1" applyFill="1" applyBorder="1"/>
    <xf numFmtId="0" fontId="2" fillId="16" borderId="8" xfId="0" applyFont="1" applyFill="1" applyBorder="1"/>
    <xf numFmtId="167" fontId="2" fillId="16" borderId="35" xfId="1" applyNumberFormat="1" applyFont="1" applyFill="1" applyBorder="1"/>
    <xf numFmtId="167" fontId="9" fillId="15" borderId="36" xfId="0" applyNumberFormat="1" applyFont="1" applyFill="1" applyBorder="1" applyAlignment="1"/>
    <xf numFmtId="167" fontId="6" fillId="9" borderId="46" xfId="0" applyNumberFormat="1" applyFont="1" applyFill="1" applyBorder="1"/>
    <xf numFmtId="166" fontId="6" fillId="9" borderId="46" xfId="3" applyFont="1" applyFill="1" applyBorder="1"/>
    <xf numFmtId="168" fontId="6" fillId="9" borderId="46" xfId="0" applyNumberFormat="1" applyFont="1" applyFill="1" applyBorder="1"/>
    <xf numFmtId="167" fontId="6" fillId="9" borderId="23" xfId="0" applyNumberFormat="1" applyFont="1" applyFill="1" applyBorder="1"/>
    <xf numFmtId="166" fontId="6" fillId="9" borderId="23" xfId="3" applyFont="1" applyFill="1" applyBorder="1"/>
    <xf numFmtId="168" fontId="6" fillId="9" borderId="23" xfId="0" applyNumberFormat="1" applyFont="1" applyFill="1" applyBorder="1"/>
    <xf numFmtId="168" fontId="6" fillId="9" borderId="20" xfId="0" applyNumberFormat="1" applyFont="1" applyFill="1" applyBorder="1"/>
    <xf numFmtId="166" fontId="6" fillId="8" borderId="13" xfId="3" applyFont="1" applyFill="1" applyBorder="1" applyAlignment="1">
      <alignment horizontal="center" vertical="center"/>
    </xf>
    <xf numFmtId="166" fontId="6" fillId="8" borderId="14" xfId="3" applyFont="1" applyFill="1" applyBorder="1" applyAlignment="1">
      <alignment horizontal="center" vertical="center"/>
    </xf>
    <xf numFmtId="166" fontId="2" fillId="0" borderId="44" xfId="3" applyFont="1" applyBorder="1"/>
    <xf numFmtId="166" fontId="2" fillId="0" borderId="52" xfId="3" applyFont="1" applyBorder="1"/>
    <xf numFmtId="166" fontId="6" fillId="11" borderId="12" xfId="3" applyFont="1" applyFill="1" applyBorder="1" applyAlignment="1">
      <alignment horizontal="center" vertical="center"/>
    </xf>
    <xf numFmtId="166" fontId="6" fillId="11" borderId="13" xfId="3" applyFont="1" applyFill="1" applyBorder="1" applyAlignment="1">
      <alignment horizontal="center" vertical="center"/>
    </xf>
    <xf numFmtId="166" fontId="6" fillId="11" borderId="14" xfId="3" applyFont="1" applyFill="1" applyBorder="1" applyAlignment="1">
      <alignment horizontal="center" vertical="center"/>
    </xf>
    <xf numFmtId="166" fontId="9" fillId="11" borderId="39" xfId="3" applyFont="1" applyFill="1" applyBorder="1"/>
    <xf numFmtId="166" fontId="2" fillId="0" borderId="11" xfId="3" applyFont="1" applyBorder="1"/>
    <xf numFmtId="166" fontId="2" fillId="11" borderId="39" xfId="3" applyFont="1" applyFill="1" applyBorder="1"/>
    <xf numFmtId="167" fontId="2" fillId="0" borderId="0" xfId="0" applyNumberFormat="1" applyFont="1" applyAlignment="1">
      <alignment horizontal="center"/>
    </xf>
    <xf numFmtId="166" fontId="2" fillId="0" borderId="0" xfId="3" applyFont="1" applyAlignment="1">
      <alignment horizontal="center"/>
    </xf>
    <xf numFmtId="168" fontId="13" fillId="13" borderId="1" xfId="0" applyNumberFormat="1" applyFont="1" applyFill="1" applyBorder="1"/>
    <xf numFmtId="166" fontId="14" fillId="0" borderId="10" xfId="3" applyFont="1" applyBorder="1"/>
    <xf numFmtId="166" fontId="2" fillId="14" borderId="41" xfId="3" applyFont="1" applyFill="1" applyBorder="1"/>
    <xf numFmtId="166" fontId="2" fillId="14" borderId="42" xfId="3" applyFont="1" applyFill="1" applyBorder="1"/>
    <xf numFmtId="166" fontId="2" fillId="14" borderId="42" xfId="3" applyFont="1" applyFill="1" applyBorder="1" applyAlignment="1">
      <alignment vertical="center"/>
    </xf>
    <xf numFmtId="166" fontId="2" fillId="14" borderId="43" xfId="3" applyFont="1" applyFill="1" applyBorder="1"/>
    <xf numFmtId="167" fontId="2" fillId="16" borderId="34" xfId="1" applyNumberFormat="1" applyFont="1" applyFill="1" applyBorder="1"/>
    <xf numFmtId="167" fontId="2" fillId="16" borderId="10" xfId="1" applyNumberFormat="1" applyFont="1" applyFill="1" applyBorder="1"/>
    <xf numFmtId="167" fontId="2" fillId="16" borderId="11" xfId="1" applyNumberFormat="1" applyFont="1" applyFill="1" applyBorder="1"/>
    <xf numFmtId="167" fontId="6" fillId="15" borderId="38" xfId="0" applyNumberFormat="1" applyFont="1" applyFill="1" applyBorder="1" applyAlignment="1"/>
    <xf numFmtId="0" fontId="6" fillId="8" borderId="46" xfId="0" applyFont="1" applyFill="1" applyBorder="1" applyAlignment="1">
      <alignment horizontal="center" vertical="center"/>
    </xf>
    <xf numFmtId="167" fontId="6" fillId="8" borderId="46" xfId="1" applyNumberFormat="1" applyFont="1" applyFill="1" applyBorder="1"/>
    <xf numFmtId="166" fontId="6" fillId="8" borderId="46" xfId="3" applyFont="1" applyFill="1" applyBorder="1" applyAlignment="1">
      <alignment horizontal="center" vertical="center"/>
    </xf>
    <xf numFmtId="166" fontId="9" fillId="8" borderId="46" xfId="3" applyFont="1" applyFill="1" applyBorder="1"/>
    <xf numFmtId="167" fontId="9" fillId="8" borderId="46" xfId="1" applyNumberFormat="1" applyFont="1" applyFill="1" applyBorder="1"/>
    <xf numFmtId="167" fontId="2" fillId="8" borderId="48" xfId="1" applyNumberFormat="1" applyFont="1" applyFill="1" applyBorder="1"/>
    <xf numFmtId="167" fontId="2" fillId="8" borderId="46" xfId="1" applyNumberFormat="1" applyFont="1" applyFill="1" applyBorder="1"/>
    <xf numFmtId="0" fontId="6" fillId="8" borderId="2" xfId="0" applyFont="1" applyFill="1" applyBorder="1" applyAlignment="1">
      <alignment horizontal="center" vertical="center" wrapText="1"/>
    </xf>
    <xf numFmtId="167" fontId="6" fillId="0" borderId="25" xfId="1" applyNumberFormat="1" applyFont="1" applyBorder="1"/>
    <xf numFmtId="167" fontId="6" fillId="0" borderId="37" xfId="1" applyNumberFormat="1" applyFont="1" applyBorder="1"/>
    <xf numFmtId="167" fontId="6" fillId="8" borderId="2" xfId="1" applyNumberFormat="1" applyFont="1" applyFill="1" applyBorder="1"/>
    <xf numFmtId="166" fontId="6" fillId="8" borderId="2" xfId="3" applyFont="1" applyFill="1" applyBorder="1" applyAlignment="1">
      <alignment horizontal="center" vertical="center" wrapText="1"/>
    </xf>
    <xf numFmtId="166" fontId="6" fillId="0" borderId="25" xfId="3" applyFont="1" applyBorder="1"/>
    <xf numFmtId="166" fontId="9" fillId="8" borderId="2" xfId="3" applyFont="1" applyFill="1" applyBorder="1"/>
    <xf numFmtId="166" fontId="6" fillId="0" borderId="37" xfId="3" applyFont="1" applyBorder="1"/>
    <xf numFmtId="167" fontId="9" fillId="8" borderId="2" xfId="1" applyNumberFormat="1" applyFont="1" applyFill="1" applyBorder="1"/>
    <xf numFmtId="167" fontId="6" fillId="8" borderId="53" xfId="1" applyNumberFormat="1" applyFont="1" applyFill="1" applyBorder="1"/>
    <xf numFmtId="167" fontId="6" fillId="0" borderId="24" xfId="1" applyNumberFormat="1" applyFont="1" applyBorder="1"/>
    <xf numFmtId="0" fontId="6" fillId="8" borderId="54" xfId="0" applyFont="1" applyFill="1" applyBorder="1" applyAlignment="1">
      <alignment horizontal="center" vertical="center"/>
    </xf>
    <xf numFmtId="167" fontId="2" fillId="8" borderId="46" xfId="0" applyNumberFormat="1" applyFont="1" applyFill="1" applyBorder="1"/>
    <xf numFmtId="166" fontId="6" fillId="8" borderId="54" xfId="3" applyFont="1" applyFill="1" applyBorder="1" applyAlignment="1">
      <alignment horizontal="center" vertical="center"/>
    </xf>
    <xf numFmtId="166" fontId="2" fillId="0" borderId="47" xfId="3" applyFont="1" applyBorder="1"/>
    <xf numFmtId="0" fontId="6" fillId="8" borderId="45" xfId="0" applyFont="1" applyFill="1" applyBorder="1" applyAlignment="1">
      <alignment horizontal="center" vertical="center" wrapText="1"/>
    </xf>
    <xf numFmtId="167" fontId="2" fillId="8" borderId="2" xfId="0" applyNumberFormat="1" applyFont="1" applyFill="1" applyBorder="1"/>
    <xf numFmtId="166" fontId="6" fillId="0" borderId="24" xfId="3" applyFont="1" applyBorder="1"/>
    <xf numFmtId="0" fontId="6" fillId="11" borderId="22" xfId="0" applyFont="1" applyFill="1" applyBorder="1" applyAlignment="1">
      <alignment horizontal="center" vertical="center"/>
    </xf>
    <xf numFmtId="167" fontId="6" fillId="11" borderId="27" xfId="1" applyNumberFormat="1" applyFont="1" applyFill="1" applyBorder="1"/>
    <xf numFmtId="166" fontId="9" fillId="11" borderId="26" xfId="3" applyFont="1" applyFill="1" applyBorder="1"/>
    <xf numFmtId="167" fontId="9" fillId="11" borderId="26" xfId="1" applyNumberFormat="1" applyFont="1" applyFill="1" applyBorder="1"/>
    <xf numFmtId="166" fontId="6" fillId="11" borderId="26" xfId="3" applyFont="1" applyFill="1" applyBorder="1"/>
    <xf numFmtId="166" fontId="6" fillId="11" borderId="27" xfId="3" applyFont="1" applyFill="1" applyBorder="1"/>
    <xf numFmtId="167" fontId="2" fillId="0" borderId="10" xfId="1" applyNumberFormat="1" applyFont="1" applyBorder="1" applyAlignment="1">
      <alignment horizontal="center" vertical="center"/>
    </xf>
    <xf numFmtId="167" fontId="2" fillId="8" borderId="26" xfId="0" applyNumberFormat="1" applyFont="1" applyFill="1" applyBorder="1"/>
    <xf numFmtId="166" fontId="2" fillId="0" borderId="10" xfId="3" applyFont="1" applyBorder="1" applyAlignment="1">
      <alignment horizontal="center"/>
    </xf>
    <xf numFmtId="164" fontId="2" fillId="0" borderId="10" xfId="1" applyFont="1" applyBorder="1" applyAlignment="1">
      <alignment horizontal="center"/>
    </xf>
    <xf numFmtId="164" fontId="2" fillId="0" borderId="28" xfId="1" applyFont="1" applyBorder="1" applyAlignment="1">
      <alignment horizontal="center"/>
    </xf>
    <xf numFmtId="166" fontId="2" fillId="0" borderId="28" xfId="3" applyFont="1" applyBorder="1" applyAlignment="1">
      <alignment horizontal="center"/>
    </xf>
    <xf numFmtId="166" fontId="6" fillId="8" borderId="45" xfId="3" applyFont="1" applyFill="1" applyBorder="1" applyAlignment="1">
      <alignment horizontal="center" vertical="center" wrapText="1"/>
    </xf>
    <xf numFmtId="166" fontId="2" fillId="8" borderId="26" xfId="3" applyFont="1" applyFill="1" applyBorder="1"/>
    <xf numFmtId="167" fontId="6" fillId="0" borderId="37" xfId="1" applyNumberFormat="1" applyFont="1" applyBorder="1" applyAlignment="1">
      <alignment vertical="center"/>
    </xf>
    <xf numFmtId="167" fontId="2" fillId="4" borderId="25" xfId="1" applyNumberFormat="1" applyFont="1" applyFill="1" applyBorder="1" applyAlignment="1">
      <alignment vertical="center"/>
    </xf>
    <xf numFmtId="167" fontId="10" fillId="0" borderId="1" xfId="1" applyNumberFormat="1" applyFont="1" applyBorder="1" applyAlignment="1">
      <alignment vertical="center"/>
    </xf>
    <xf numFmtId="0" fontId="2" fillId="0" borderId="8" xfId="0" applyFont="1" applyBorder="1"/>
    <xf numFmtId="167" fontId="6" fillId="0" borderId="55" xfId="1" applyNumberFormat="1" applyFont="1" applyBorder="1"/>
    <xf numFmtId="167" fontId="6" fillId="0" borderId="49" xfId="1" applyNumberFormat="1" applyFont="1" applyBorder="1"/>
    <xf numFmtId="167" fontId="2" fillId="8" borderId="39" xfId="0" applyNumberFormat="1" applyFont="1" applyFill="1" applyBorder="1"/>
    <xf numFmtId="167" fontId="2" fillId="8" borderId="40" xfId="0" applyNumberFormat="1" applyFont="1" applyFill="1" applyBorder="1"/>
    <xf numFmtId="167" fontId="2" fillId="0" borderId="8" xfId="1" applyNumberFormat="1" applyFont="1" applyBorder="1"/>
    <xf numFmtId="167" fontId="2" fillId="0" borderId="9" xfId="1" applyNumberFormat="1" applyFont="1" applyBorder="1"/>
    <xf numFmtId="166" fontId="2" fillId="0" borderId="19" xfId="3" applyFont="1" applyBorder="1" applyAlignment="1">
      <alignment vertical="center"/>
    </xf>
    <xf numFmtId="167" fontId="2" fillId="0" borderId="19" xfId="1" applyNumberFormat="1" applyFont="1" applyBorder="1" applyAlignment="1">
      <alignment vertical="center"/>
    </xf>
    <xf numFmtId="166" fontId="6" fillId="0" borderId="37" xfId="3" applyFont="1" applyBorder="1" applyAlignment="1">
      <alignment vertical="center"/>
    </xf>
    <xf numFmtId="166" fontId="6" fillId="8" borderId="2" xfId="3" applyFont="1" applyFill="1" applyBorder="1"/>
    <xf numFmtId="166" fontId="6" fillId="8" borderId="46" xfId="3" applyFont="1" applyFill="1" applyBorder="1"/>
    <xf numFmtId="166" fontId="15" fillId="0" borderId="1" xfId="3" applyFont="1" applyBorder="1"/>
    <xf numFmtId="166" fontId="16" fillId="0" borderId="30" xfId="3" applyFont="1" applyBorder="1"/>
    <xf numFmtId="166" fontId="16" fillId="0" borderId="29" xfId="3" applyFont="1" applyBorder="1"/>
    <xf numFmtId="167" fontId="2" fillId="0" borderId="43" xfId="1" applyNumberFormat="1" applyFont="1" applyBorder="1" applyAlignment="1">
      <alignment vertical="center"/>
    </xf>
    <xf numFmtId="167" fontId="2" fillId="0" borderId="33" xfId="1" applyNumberFormat="1" applyFont="1" applyBorder="1" applyAlignment="1">
      <alignment vertical="center"/>
    </xf>
    <xf numFmtId="167" fontId="2" fillId="0" borderId="30" xfId="1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166" fontId="2" fillId="0" borderId="30" xfId="3" applyFont="1" applyBorder="1" applyAlignment="1">
      <alignment vertical="center"/>
    </xf>
    <xf numFmtId="169" fontId="17" fillId="0" borderId="0" xfId="0" applyNumberFormat="1" applyFont="1" applyFill="1" applyBorder="1" applyAlignment="1" applyProtection="1">
      <alignment horizontal="right"/>
    </xf>
    <xf numFmtId="166" fontId="6" fillId="14" borderId="37" xfId="3" applyFont="1" applyFill="1" applyBorder="1"/>
    <xf numFmtId="167" fontId="6" fillId="11" borderId="21" xfId="1" applyNumberFormat="1" applyFont="1" applyFill="1" applyBorder="1" applyAlignment="1">
      <alignment horizontal="center" vertical="center"/>
    </xf>
    <xf numFmtId="167" fontId="6" fillId="9" borderId="21" xfId="1" applyNumberFormat="1" applyFont="1" applyFill="1" applyBorder="1"/>
    <xf numFmtId="0" fontId="2" fillId="0" borderId="0" xfId="0" applyNumberFormat="1" applyFont="1"/>
    <xf numFmtId="0" fontId="2" fillId="0" borderId="0" xfId="1" applyNumberFormat="1" applyFont="1"/>
    <xf numFmtId="0" fontId="2" fillId="0" borderId="0" xfId="0" applyNumberFormat="1" applyFont="1" applyAlignment="1">
      <alignment horizontal="center"/>
    </xf>
    <xf numFmtId="0" fontId="2" fillId="0" borderId="0" xfId="3" applyNumberFormat="1" applyFont="1"/>
    <xf numFmtId="0" fontId="10" fillId="14" borderId="1" xfId="4" applyFill="1" applyBorder="1"/>
    <xf numFmtId="167" fontId="2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 applyAlignment="1">
      <alignment horizontal="left" indent="1"/>
    </xf>
    <xf numFmtId="0" fontId="0" fillId="0" borderId="0" xfId="0" applyNumberFormat="1"/>
    <xf numFmtId="166" fontId="0" fillId="0" borderId="0" xfId="3" applyFont="1"/>
    <xf numFmtId="167" fontId="2" fillId="0" borderId="18" xfId="1" applyNumberFormat="1" applyFont="1" applyBorder="1" applyAlignment="1"/>
    <xf numFmtId="166" fontId="2" fillId="0" borderId="1" xfId="3" applyFont="1" applyBorder="1" applyAlignment="1"/>
    <xf numFmtId="166" fontId="2" fillId="0" borderId="6" xfId="3" applyFont="1" applyBorder="1" applyAlignment="1"/>
    <xf numFmtId="0" fontId="2" fillId="0" borderId="0" xfId="0" applyFont="1" applyAlignment="1"/>
    <xf numFmtId="170" fontId="0" fillId="0" borderId="0" xfId="0" applyNumberFormat="1"/>
    <xf numFmtId="167" fontId="2" fillId="14" borderId="1" xfId="1" applyNumberFormat="1" applyFont="1" applyFill="1" applyBorder="1" applyAlignment="1">
      <alignment vertical="center"/>
    </xf>
    <xf numFmtId="167" fontId="2" fillId="14" borderId="30" xfId="1" applyNumberFormat="1" applyFont="1" applyFill="1" applyBorder="1"/>
    <xf numFmtId="0" fontId="18" fillId="10" borderId="2" xfId="0" applyFont="1" applyFill="1" applyBorder="1" applyAlignment="1">
      <alignment horizontal="center" vertical="center"/>
    </xf>
    <xf numFmtId="0" fontId="19" fillId="10" borderId="2" xfId="3" applyNumberFormat="1" applyFont="1" applyFill="1" applyBorder="1" applyAlignment="1">
      <alignment vertical="center"/>
    </xf>
    <xf numFmtId="0" fontId="19" fillId="10" borderId="0" xfId="3" applyNumberFormat="1" applyFont="1" applyFill="1" applyAlignment="1">
      <alignment vertical="center"/>
    </xf>
    <xf numFmtId="0" fontId="19" fillId="10" borderId="2" xfId="0" applyNumberFormat="1" applyFont="1" applyFill="1" applyBorder="1" applyAlignment="1">
      <alignment vertical="center"/>
    </xf>
    <xf numFmtId="0" fontId="19" fillId="10" borderId="2" xfId="0" applyFont="1" applyFill="1" applyBorder="1" applyAlignment="1">
      <alignment vertical="center"/>
    </xf>
    <xf numFmtId="0" fontId="19" fillId="10" borderId="0" xfId="0" applyFont="1" applyFill="1" applyAlignment="1">
      <alignment vertical="center"/>
    </xf>
    <xf numFmtId="0" fontId="19" fillId="10" borderId="2" xfId="0" applyNumberFormat="1" applyFont="1" applyFill="1" applyBorder="1" applyAlignment="1">
      <alignment horizontal="center" vertical="center"/>
    </xf>
    <xf numFmtId="0" fontId="19" fillId="1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67" fontId="2" fillId="0" borderId="17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 vertical="center"/>
    </xf>
    <xf numFmtId="167" fontId="2" fillId="8" borderId="21" xfId="0" applyNumberFormat="1" applyFont="1" applyFill="1" applyBorder="1" applyAlignment="1">
      <alignment horizontal="right"/>
    </xf>
    <xf numFmtId="0" fontId="2" fillId="0" borderId="0" xfId="0" applyNumberFormat="1" applyFont="1" applyAlignment="1">
      <alignment horizontal="right"/>
    </xf>
    <xf numFmtId="167" fontId="6" fillId="9" borderId="21" xfId="0" applyNumberFormat="1" applyFont="1" applyFill="1" applyBorder="1" applyAlignment="1">
      <alignment horizontal="right"/>
    </xf>
    <xf numFmtId="171" fontId="2" fillId="0" borderId="0" xfId="2" applyNumberFormat="1" applyFont="1" applyAlignment="1">
      <alignment horizontal="center"/>
    </xf>
    <xf numFmtId="0" fontId="6" fillId="17" borderId="12" xfId="0" applyFont="1" applyFill="1" applyBorder="1" applyAlignment="1">
      <alignment horizontal="center" vertical="center"/>
    </xf>
    <xf numFmtId="0" fontId="6" fillId="17" borderId="13" xfId="0" applyFont="1" applyFill="1" applyBorder="1" applyAlignment="1">
      <alignment horizontal="center" vertical="center"/>
    </xf>
    <xf numFmtId="166" fontId="6" fillId="17" borderId="13" xfId="3" applyFont="1" applyFill="1" applyBorder="1" applyAlignment="1">
      <alignment horizontal="center" vertical="center"/>
    </xf>
    <xf numFmtId="166" fontId="6" fillId="17" borderId="12" xfId="3" applyFont="1" applyFill="1" applyBorder="1" applyAlignment="1">
      <alignment horizontal="center" vertical="center"/>
    </xf>
    <xf numFmtId="166" fontId="6" fillId="17" borderId="14" xfId="3" applyFont="1" applyFill="1" applyBorder="1" applyAlignment="1">
      <alignment horizontal="center" vertical="center"/>
    </xf>
    <xf numFmtId="166" fontId="6" fillId="17" borderId="20" xfId="3" applyFont="1" applyFill="1" applyBorder="1" applyAlignment="1">
      <alignment horizontal="center" vertical="center"/>
    </xf>
    <xf numFmtId="166" fontId="6" fillId="17" borderId="21" xfId="3" applyFont="1" applyFill="1" applyBorder="1" applyAlignment="1">
      <alignment horizontal="center" vertical="center"/>
    </xf>
    <xf numFmtId="166" fontId="6" fillId="17" borderId="22" xfId="3" applyFont="1" applyFill="1" applyBorder="1" applyAlignment="1">
      <alignment horizontal="center" vertical="center"/>
    </xf>
    <xf numFmtId="0" fontId="6" fillId="17" borderId="20" xfId="0" applyFont="1" applyFill="1" applyBorder="1" applyAlignment="1">
      <alignment horizontal="center" vertical="center"/>
    </xf>
    <xf numFmtId="0" fontId="6" fillId="17" borderId="21" xfId="0" applyFont="1" applyFill="1" applyBorder="1" applyAlignment="1">
      <alignment horizontal="center" vertical="center"/>
    </xf>
    <xf numFmtId="167" fontId="6" fillId="17" borderId="21" xfId="1" applyNumberFormat="1" applyFont="1" applyFill="1" applyBorder="1" applyAlignment="1">
      <alignment horizontal="center" vertical="center"/>
    </xf>
    <xf numFmtId="166" fontId="6" fillId="18" borderId="2" xfId="3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167" fontId="2" fillId="17" borderId="20" xfId="0" applyNumberFormat="1" applyFont="1" applyFill="1" applyBorder="1"/>
    <xf numFmtId="166" fontId="2" fillId="17" borderId="20" xfId="3" applyFont="1" applyFill="1" applyBorder="1"/>
    <xf numFmtId="166" fontId="2" fillId="17" borderId="39" xfId="3" applyFont="1" applyFill="1" applyBorder="1"/>
    <xf numFmtId="166" fontId="6" fillId="11" borderId="15" xfId="3" applyFont="1" applyFill="1" applyBorder="1" applyAlignment="1">
      <alignment horizontal="center" vertical="center" wrapText="1"/>
    </xf>
    <xf numFmtId="167" fontId="2" fillId="11" borderId="26" xfId="1" applyNumberFormat="1" applyFont="1" applyFill="1" applyBorder="1"/>
    <xf numFmtId="167" fontId="2" fillId="11" borderId="26" xfId="0" applyNumberFormat="1" applyFont="1" applyFill="1" applyBorder="1"/>
    <xf numFmtId="166" fontId="2" fillId="11" borderId="26" xfId="3" applyFont="1" applyFill="1" applyBorder="1"/>
    <xf numFmtId="167" fontId="2" fillId="4" borderId="37" xfId="1" applyNumberFormat="1" applyFont="1" applyFill="1" applyBorder="1"/>
    <xf numFmtId="0" fontId="6" fillId="17" borderId="14" xfId="0" applyFont="1" applyFill="1" applyBorder="1" applyAlignment="1">
      <alignment horizontal="center" vertical="center"/>
    </xf>
    <xf numFmtId="167" fontId="2" fillId="17" borderId="32" xfId="0" applyNumberFormat="1" applyFont="1" applyFill="1" applyBorder="1"/>
    <xf numFmtId="166" fontId="2" fillId="0" borderId="10" xfId="3" applyFont="1" applyBorder="1" applyAlignment="1"/>
    <xf numFmtId="166" fontId="2" fillId="17" borderId="58" xfId="3" applyFont="1" applyFill="1" applyBorder="1"/>
    <xf numFmtId="166" fontId="2" fillId="0" borderId="10" xfId="3" applyFont="1" applyBorder="1" applyAlignment="1">
      <alignment vertical="center"/>
    </xf>
    <xf numFmtId="166" fontId="6" fillId="0" borderId="10" xfId="3" applyFont="1" applyBorder="1"/>
    <xf numFmtId="166" fontId="2" fillId="17" borderId="32" xfId="3" applyFont="1" applyFill="1" applyBorder="1"/>
    <xf numFmtId="0" fontId="6" fillId="17" borderId="22" xfId="0" applyFont="1" applyFill="1" applyBorder="1" applyAlignment="1">
      <alignment horizontal="center" vertical="center"/>
    </xf>
    <xf numFmtId="167" fontId="6" fillId="0" borderId="10" xfId="1" applyNumberFormat="1" applyFont="1" applyBorder="1"/>
    <xf numFmtId="0" fontId="2" fillId="0" borderId="10" xfId="0" applyFont="1" applyBorder="1"/>
    <xf numFmtId="0" fontId="2" fillId="0" borderId="28" xfId="0" applyFont="1" applyBorder="1"/>
    <xf numFmtId="166" fontId="2" fillId="0" borderId="28" xfId="3" applyFont="1" applyBorder="1" applyAlignment="1">
      <alignment vertical="center"/>
    </xf>
    <xf numFmtId="0" fontId="6" fillId="18" borderId="45" xfId="0" applyFont="1" applyFill="1" applyBorder="1" applyAlignment="1">
      <alignment horizontal="center" vertical="center" wrapText="1"/>
    </xf>
    <xf numFmtId="167" fontId="2" fillId="0" borderId="37" xfId="1" applyNumberFormat="1" applyFont="1" applyBorder="1"/>
    <xf numFmtId="167" fontId="2" fillId="0" borderId="37" xfId="1" applyNumberFormat="1" applyFont="1" applyBorder="1" applyAlignment="1">
      <alignment vertical="center"/>
    </xf>
    <xf numFmtId="167" fontId="2" fillId="18" borderId="2" xfId="0" applyNumberFormat="1" applyFont="1" applyFill="1" applyBorder="1"/>
    <xf numFmtId="166" fontId="2" fillId="0" borderId="25" xfId="3" applyFont="1" applyBorder="1" applyAlignment="1"/>
    <xf numFmtId="166" fontId="2" fillId="18" borderId="26" xfId="3" applyFont="1" applyFill="1" applyBorder="1"/>
    <xf numFmtId="166" fontId="2" fillId="0" borderId="25" xfId="3" applyFont="1" applyBorder="1" applyAlignment="1">
      <alignment vertical="center"/>
    </xf>
    <xf numFmtId="166" fontId="2" fillId="18" borderId="2" xfId="3" applyFont="1" applyFill="1" applyBorder="1"/>
    <xf numFmtId="167" fontId="2" fillId="0" borderId="25" xfId="1" applyNumberFormat="1" applyFont="1" applyBorder="1" applyAlignment="1">
      <alignment vertical="center"/>
    </xf>
    <xf numFmtId="166" fontId="20" fillId="0" borderId="30" xfId="3" applyFont="1" applyBorder="1"/>
    <xf numFmtId="166" fontId="15" fillId="0" borderId="3" xfId="3" applyFont="1" applyBorder="1"/>
    <xf numFmtId="166" fontId="15" fillId="0" borderId="4" xfId="3" applyFont="1" applyBorder="1"/>
    <xf numFmtId="166" fontId="15" fillId="0" borderId="34" xfId="3" applyFont="1" applyBorder="1"/>
    <xf numFmtId="166" fontId="15" fillId="0" borderId="16" xfId="3" applyFont="1" applyBorder="1"/>
    <xf numFmtId="166" fontId="15" fillId="0" borderId="17" xfId="3" applyFont="1" applyBorder="1"/>
    <xf numFmtId="166" fontId="15" fillId="0" borderId="18" xfId="3" applyFont="1" applyBorder="1"/>
    <xf numFmtId="166" fontId="15" fillId="0" borderId="6" xfId="3" applyFont="1" applyBorder="1"/>
    <xf numFmtId="166" fontId="15" fillId="0" borderId="10" xfId="3" applyFont="1" applyBorder="1"/>
    <xf numFmtId="166" fontId="21" fillId="0" borderId="6" xfId="3" applyFont="1" applyBorder="1"/>
    <xf numFmtId="166" fontId="21" fillId="0" borderId="1" xfId="3" applyFont="1" applyBorder="1"/>
    <xf numFmtId="166" fontId="21" fillId="0" borderId="10" xfId="3" applyFont="1" applyBorder="1"/>
    <xf numFmtId="166" fontId="20" fillId="0" borderId="29" xfId="3" applyFont="1" applyBorder="1"/>
    <xf numFmtId="166" fontId="15" fillId="0" borderId="30" xfId="3" applyFont="1" applyBorder="1"/>
    <xf numFmtId="166" fontId="15" fillId="0" borderId="28" xfId="3" applyFont="1" applyBorder="1"/>
    <xf numFmtId="166" fontId="15" fillId="0" borderId="29" xfId="3" applyFont="1" applyBorder="1"/>
    <xf numFmtId="172" fontId="22" fillId="0" borderId="0" xfId="0" applyNumberFormat="1" applyFont="1"/>
    <xf numFmtId="9" fontId="22" fillId="0" borderId="0" xfId="2" applyFont="1"/>
    <xf numFmtId="172" fontId="0" fillId="0" borderId="0" xfId="0" applyNumberFormat="1" applyAlignment="1">
      <alignment vertical="center"/>
    </xf>
    <xf numFmtId="166" fontId="2" fillId="0" borderId="29" xfId="3" applyFont="1" applyBorder="1" applyAlignment="1">
      <alignment vertical="center"/>
    </xf>
    <xf numFmtId="166" fontId="2" fillId="0" borderId="0" xfId="0" applyNumberFormat="1" applyFont="1"/>
    <xf numFmtId="0" fontId="6" fillId="0" borderId="59" xfId="0" applyFont="1" applyBorder="1"/>
    <xf numFmtId="166" fontId="6" fillId="0" borderId="59" xfId="0" applyNumberFormat="1" applyFont="1" applyBorder="1"/>
    <xf numFmtId="165" fontId="23" fillId="0" borderId="1" xfId="5" applyFont="1" applyBorder="1"/>
    <xf numFmtId="1" fontId="18" fillId="10" borderId="2" xfId="3" applyNumberFormat="1" applyFont="1" applyFill="1" applyBorder="1" applyAlignment="1">
      <alignment horizontal="center" vertical="center"/>
    </xf>
    <xf numFmtId="0" fontId="19" fillId="10" borderId="2" xfId="3" applyNumberFormat="1" applyFont="1" applyFill="1" applyBorder="1" applyAlignment="1">
      <alignment horizontal="center" vertical="center"/>
    </xf>
    <xf numFmtId="167" fontId="2" fillId="0" borderId="60" xfId="1" applyNumberFormat="1" applyFont="1" applyBorder="1" applyAlignment="1">
      <alignment horizontal="center"/>
    </xf>
    <xf numFmtId="167" fontId="2" fillId="0" borderId="61" xfId="1" applyNumberFormat="1" applyFont="1" applyBorder="1" applyAlignment="1">
      <alignment horizontal="center"/>
    </xf>
    <xf numFmtId="166" fontId="6" fillId="14" borderId="57" xfId="3" applyFont="1" applyFill="1" applyBorder="1"/>
    <xf numFmtId="166" fontId="6" fillId="0" borderId="57" xfId="3" applyFont="1" applyBorder="1"/>
    <xf numFmtId="167" fontId="6" fillId="0" borderId="57" xfId="1" applyNumberFormat="1" applyFont="1" applyBorder="1"/>
    <xf numFmtId="166" fontId="19" fillId="10" borderId="2" xfId="3" applyFont="1" applyFill="1" applyBorder="1" applyAlignment="1">
      <alignment horizontal="center" vertical="center"/>
    </xf>
    <xf numFmtId="167" fontId="2" fillId="0" borderId="56" xfId="1" applyNumberFormat="1" applyFont="1" applyBorder="1" applyAlignment="1">
      <alignment horizontal="center"/>
    </xf>
    <xf numFmtId="166" fontId="6" fillId="14" borderId="37" xfId="3" applyFont="1" applyFill="1" applyBorder="1" applyAlignment="1">
      <alignment vertical="center"/>
    </xf>
    <xf numFmtId="166" fontId="2" fillId="14" borderId="43" xfId="3" applyFont="1" applyFill="1" applyBorder="1" applyAlignment="1">
      <alignment vertical="center"/>
    </xf>
    <xf numFmtId="166" fontId="2" fillId="14" borderId="33" xfId="3" applyFont="1" applyFill="1" applyBorder="1" applyAlignment="1">
      <alignment vertical="center"/>
    </xf>
    <xf numFmtId="166" fontId="2" fillId="14" borderId="30" xfId="3" applyFont="1" applyFill="1" applyBorder="1" applyAlignment="1">
      <alignment vertical="center"/>
    </xf>
    <xf numFmtId="166" fontId="2" fillId="0" borderId="17" xfId="3" applyFont="1" applyBorder="1" applyAlignment="1">
      <alignment vertical="center"/>
    </xf>
    <xf numFmtId="166" fontId="2" fillId="0" borderId="18" xfId="3" applyFont="1" applyBorder="1" applyAlignment="1">
      <alignment vertical="center"/>
    </xf>
    <xf numFmtId="167" fontId="2" fillId="4" borderId="37" xfId="1" applyNumberFormat="1" applyFont="1" applyFill="1" applyBorder="1" applyAlignment="1">
      <alignment vertical="center"/>
    </xf>
    <xf numFmtId="166" fontId="2" fillId="0" borderId="43" xfId="3" applyFont="1" applyBorder="1" applyAlignment="1">
      <alignment vertical="center"/>
    </xf>
    <xf numFmtId="166" fontId="2" fillId="0" borderId="33" xfId="3" applyFont="1" applyBorder="1" applyAlignment="1">
      <alignment vertical="center"/>
    </xf>
    <xf numFmtId="166" fontId="4" fillId="0" borderId="0" xfId="3" applyFont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166" fontId="2" fillId="8" borderId="48" xfId="3" applyFont="1" applyFill="1" applyBorder="1"/>
    <xf numFmtId="166" fontId="2" fillId="8" borderId="40" xfId="3" applyFont="1" applyFill="1" applyBorder="1"/>
    <xf numFmtId="166" fontId="2" fillId="8" borderId="46" xfId="3" applyFont="1" applyFill="1" applyBorder="1"/>
    <xf numFmtId="0" fontId="6" fillId="0" borderId="62" xfId="0" applyFont="1" applyBorder="1" applyAlignment="1">
      <alignment horizontal="center"/>
    </xf>
    <xf numFmtId="166" fontId="2" fillId="4" borderId="24" xfId="3" applyNumberFormat="1" applyFont="1" applyFill="1" applyBorder="1"/>
    <xf numFmtId="9" fontId="25" fillId="0" borderId="0" xfId="2" applyFont="1"/>
    <xf numFmtId="166" fontId="2" fillId="0" borderId="0" xfId="0" applyNumberFormat="1" applyFont="1" applyAlignment="1">
      <alignment horizontal="center"/>
    </xf>
    <xf numFmtId="168" fontId="10" fillId="0" borderId="1" xfId="0" applyNumberFormat="1" applyFont="1" applyFill="1" applyBorder="1"/>
    <xf numFmtId="166" fontId="2" fillId="0" borderId="0" xfId="3" applyFont="1" applyFill="1"/>
    <xf numFmtId="166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167" fontId="2" fillId="0" borderId="59" xfId="1" applyNumberFormat="1" applyFont="1" applyBorder="1"/>
    <xf numFmtId="0" fontId="6" fillId="0" borderId="0" xfId="0" applyFont="1" applyAlignment="1">
      <alignment horizontal="left" vertical="center" wrapText="1"/>
    </xf>
    <xf numFmtId="167" fontId="2" fillId="0" borderId="0" xfId="1" applyNumberFormat="1" applyFont="1" applyBorder="1"/>
    <xf numFmtId="166" fontId="2" fillId="0" borderId="59" xfId="3" applyFont="1" applyBorder="1"/>
    <xf numFmtId="0" fontId="6" fillId="0" borderId="0" xfId="0" applyFont="1" applyAlignment="1">
      <alignment horizontal="right"/>
    </xf>
    <xf numFmtId="1" fontId="19" fillId="10" borderId="2" xfId="3" applyNumberFormat="1" applyFont="1" applyFill="1" applyBorder="1" applyAlignment="1">
      <alignment horizontal="center" vertical="center"/>
    </xf>
    <xf numFmtId="166" fontId="2" fillId="0" borderId="4" xfId="3" applyFont="1" applyBorder="1" applyAlignment="1">
      <alignment horizontal="center"/>
    </xf>
    <xf numFmtId="166" fontId="6" fillId="11" borderId="20" xfId="3" applyFont="1" applyFill="1" applyBorder="1" applyAlignment="1">
      <alignment horizontal="center"/>
    </xf>
    <xf numFmtId="166" fontId="2" fillId="0" borderId="17" xfId="3" applyFont="1" applyBorder="1" applyAlignment="1">
      <alignment horizontal="center"/>
    </xf>
    <xf numFmtId="166" fontId="6" fillId="0" borderId="1" xfId="3" applyFont="1" applyBorder="1" applyAlignment="1">
      <alignment horizontal="center"/>
    </xf>
    <xf numFmtId="166" fontId="2" fillId="0" borderId="9" xfId="3" applyFont="1" applyBorder="1" applyAlignment="1">
      <alignment horizontal="center"/>
    </xf>
    <xf numFmtId="167" fontId="2" fillId="11" borderId="20" xfId="0" applyNumberFormat="1" applyFont="1" applyFill="1" applyBorder="1" applyAlignment="1">
      <alignment horizontal="center"/>
    </xf>
    <xf numFmtId="0" fontId="19" fillId="10" borderId="0" xfId="3" applyNumberFormat="1" applyFont="1" applyFill="1" applyAlignment="1">
      <alignment horizontal="center" vertical="center"/>
    </xf>
    <xf numFmtId="166" fontId="6" fillId="9" borderId="21" xfId="3" applyFont="1" applyFill="1" applyBorder="1" applyAlignment="1">
      <alignment horizontal="center"/>
    </xf>
    <xf numFmtId="166" fontId="6" fillId="9" borderId="23" xfId="3" applyFont="1" applyFill="1" applyBorder="1" applyAlignment="1">
      <alignment horizontal="center"/>
    </xf>
    <xf numFmtId="168" fontId="10" fillId="0" borderId="1" xfId="0" applyNumberFormat="1" applyFont="1" applyBorder="1" applyAlignment="1">
      <alignment horizontal="center"/>
    </xf>
    <xf numFmtId="166" fontId="2" fillId="11" borderId="20" xfId="3" applyFont="1" applyFill="1" applyBorder="1" applyAlignment="1">
      <alignment horizontal="center"/>
    </xf>
    <xf numFmtId="166" fontId="6" fillId="0" borderId="6" xfId="3" applyFont="1" applyBorder="1" applyAlignment="1">
      <alignment horizontal="center"/>
    </xf>
    <xf numFmtId="166" fontId="9" fillId="0" borderId="1" xfId="3" applyFont="1" applyBorder="1" applyAlignment="1">
      <alignment horizontal="center"/>
    </xf>
    <xf numFmtId="166" fontId="2" fillId="0" borderId="35" xfId="3" applyFont="1" applyBorder="1"/>
    <xf numFmtId="166" fontId="2" fillId="8" borderId="39" xfId="3" applyFont="1" applyFill="1" applyBorder="1"/>
    <xf numFmtId="166" fontId="6" fillId="11" borderId="45" xfId="3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167" fontId="2" fillId="5" borderId="26" xfId="0" applyNumberFormat="1" applyFont="1" applyFill="1" applyBorder="1"/>
    <xf numFmtId="167" fontId="2" fillId="4" borderId="53" xfId="1" applyNumberFormat="1" applyFont="1" applyFill="1" applyBorder="1"/>
    <xf numFmtId="166" fontId="2" fillId="0" borderId="48" xfId="3" applyFont="1" applyBorder="1"/>
    <xf numFmtId="166" fontId="6" fillId="0" borderId="53" xfId="3" applyFont="1" applyBorder="1"/>
    <xf numFmtId="166" fontId="6" fillId="19" borderId="25" xfId="3" applyFont="1" applyFill="1" applyBorder="1"/>
    <xf numFmtId="166" fontId="6" fillId="19" borderId="41" xfId="3" applyFont="1" applyFill="1" applyBorder="1"/>
    <xf numFmtId="166" fontId="2" fillId="0" borderId="39" xfId="3" applyFont="1" applyBorder="1"/>
    <xf numFmtId="166" fontId="2" fillId="0" borderId="66" xfId="3" applyFont="1" applyBorder="1"/>
    <xf numFmtId="166" fontId="2" fillId="0" borderId="67" xfId="3" applyFont="1" applyBorder="1"/>
    <xf numFmtId="166" fontId="2" fillId="0" borderId="68" xfId="3" applyFont="1" applyBorder="1"/>
    <xf numFmtId="167" fontId="2" fillId="4" borderId="45" xfId="1" applyNumberFormat="1" applyFont="1" applyFill="1" applyBorder="1"/>
    <xf numFmtId="9" fontId="2" fillId="19" borderId="6" xfId="2" applyFont="1" applyFill="1" applyBorder="1" applyAlignment="1">
      <alignment horizontal="center"/>
    </xf>
    <xf numFmtId="9" fontId="2" fillId="19" borderId="1" xfId="2" applyFont="1" applyFill="1" applyBorder="1" applyAlignment="1">
      <alignment horizontal="center"/>
    </xf>
    <xf numFmtId="9" fontId="2" fillId="19" borderId="10" xfId="2" applyFont="1" applyFill="1" applyBorder="1" applyAlignment="1">
      <alignment horizontal="center"/>
    </xf>
    <xf numFmtId="0" fontId="6" fillId="19" borderId="63" xfId="0" applyFont="1" applyFill="1" applyBorder="1" applyAlignment="1">
      <alignment horizontal="center"/>
    </xf>
    <xf numFmtId="9" fontId="2" fillId="19" borderId="63" xfId="2" applyFont="1" applyFill="1" applyBorder="1" applyAlignment="1">
      <alignment horizontal="center"/>
    </xf>
    <xf numFmtId="9" fontId="2" fillId="19" borderId="64" xfId="2" applyFont="1" applyFill="1" applyBorder="1" applyAlignment="1">
      <alignment horizontal="center"/>
    </xf>
    <xf numFmtId="9" fontId="2" fillId="19" borderId="65" xfId="2" applyFont="1" applyFill="1" applyBorder="1" applyAlignment="1">
      <alignment horizontal="center"/>
    </xf>
    <xf numFmtId="166" fontId="6" fillId="19" borderId="31" xfId="3" applyFont="1" applyFill="1" applyBorder="1"/>
    <xf numFmtId="166" fontId="2" fillId="19" borderId="62" xfId="3" applyFont="1" applyFill="1" applyBorder="1"/>
    <xf numFmtId="0" fontId="6" fillId="0" borderId="0" xfId="0" applyFont="1" applyAlignment="1">
      <alignment horizontal="center"/>
    </xf>
    <xf numFmtId="166" fontId="6" fillId="0" borderId="0" xfId="3" applyFont="1"/>
    <xf numFmtId="166" fontId="6" fillId="0" borderId="0" xfId="3" applyFont="1" applyAlignment="1">
      <alignment horizontal="right"/>
    </xf>
    <xf numFmtId="166" fontId="2" fillId="19" borderId="0" xfId="3" applyFont="1" applyFill="1"/>
    <xf numFmtId="166" fontId="6" fillId="19" borderId="0" xfId="3" applyFont="1" applyFill="1"/>
    <xf numFmtId="166" fontId="26" fillId="0" borderId="0" xfId="3" applyFont="1"/>
    <xf numFmtId="166" fontId="25" fillId="0" borderId="1" xfId="3" applyFont="1" applyBorder="1"/>
    <xf numFmtId="169" fontId="27" fillId="0" borderId="0" xfId="0" applyNumberFormat="1" applyFont="1" applyAlignment="1">
      <alignment horizontal="right"/>
    </xf>
    <xf numFmtId="172" fontId="0" fillId="0" borderId="0" xfId="0" applyNumberFormat="1"/>
    <xf numFmtId="167" fontId="2" fillId="12" borderId="29" xfId="1" applyNumberFormat="1" applyFont="1" applyFill="1" applyBorder="1" applyAlignment="1">
      <alignment horizontal="center"/>
    </xf>
    <xf numFmtId="167" fontId="2" fillId="12" borderId="30" xfId="1" applyNumberFormat="1" applyFont="1" applyFill="1" applyBorder="1" applyAlignment="1">
      <alignment horizontal="center"/>
    </xf>
    <xf numFmtId="167" fontId="2" fillId="12" borderId="28" xfId="1" applyNumberFormat="1" applyFont="1" applyFill="1" applyBorder="1" applyAlignment="1">
      <alignment horizontal="center"/>
    </xf>
    <xf numFmtId="0" fontId="6" fillId="12" borderId="30" xfId="0" applyFont="1" applyFill="1" applyBorder="1" applyAlignment="1">
      <alignment horizontal="center"/>
    </xf>
    <xf numFmtId="167" fontId="2" fillId="12" borderId="28" xfId="1" applyNumberFormat="1" applyFont="1" applyFill="1" applyBorder="1"/>
    <xf numFmtId="0" fontId="2" fillId="12" borderId="30" xfId="0" applyFont="1" applyFill="1" applyBorder="1"/>
    <xf numFmtId="0" fontId="9" fillId="12" borderId="30" xfId="0" applyFont="1" applyFill="1" applyBorder="1" applyAlignment="1">
      <alignment horizontal="center"/>
    </xf>
    <xf numFmtId="166" fontId="2" fillId="12" borderId="29" xfId="3" applyFont="1" applyFill="1" applyBorder="1" applyAlignment="1">
      <alignment horizontal="center"/>
    </xf>
    <xf numFmtId="166" fontId="2" fillId="12" borderId="30" xfId="3" applyFont="1" applyFill="1" applyBorder="1" applyAlignment="1">
      <alignment horizontal="center"/>
    </xf>
    <xf numFmtId="166" fontId="2" fillId="12" borderId="28" xfId="3" applyFont="1" applyFill="1" applyBorder="1" applyAlignment="1">
      <alignment horizontal="center"/>
    </xf>
    <xf numFmtId="0" fontId="6" fillId="12" borderId="16" xfId="0" applyFont="1" applyFill="1" applyBorder="1" applyAlignment="1">
      <alignment horizontal="center"/>
    </xf>
    <xf numFmtId="166" fontId="9" fillId="0" borderId="30" xfId="0" applyNumberFormat="1" applyFont="1" applyBorder="1" applyAlignment="1">
      <alignment horizontal="center"/>
    </xf>
    <xf numFmtId="0" fontId="2" fillId="12" borderId="1" xfId="0" applyFont="1" applyFill="1" applyBorder="1"/>
    <xf numFmtId="0" fontId="9" fillId="12" borderId="1" xfId="0" applyFont="1" applyFill="1" applyBorder="1" applyAlignment="1">
      <alignment horizontal="center"/>
    </xf>
    <xf numFmtId="167" fontId="2" fillId="12" borderId="10" xfId="1" applyNumberFormat="1" applyFont="1" applyFill="1" applyBorder="1"/>
    <xf numFmtId="167" fontId="2" fillId="12" borderId="6" xfId="1" applyNumberFormat="1" applyFont="1" applyFill="1" applyBorder="1" applyAlignment="1">
      <alignment horizontal="center"/>
    </xf>
    <xf numFmtId="167" fontId="2" fillId="12" borderId="1" xfId="1" applyNumberFormat="1" applyFont="1" applyFill="1" applyBorder="1" applyAlignment="1">
      <alignment horizontal="center"/>
    </xf>
    <xf numFmtId="167" fontId="2" fillId="12" borderId="10" xfId="1" applyNumberFormat="1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164" fontId="2" fillId="12" borderId="10" xfId="1" applyFont="1" applyFill="1" applyBorder="1" applyAlignment="1">
      <alignment horizontal="center"/>
    </xf>
    <xf numFmtId="167" fontId="2" fillId="12" borderId="16" xfId="1" applyNumberFormat="1" applyFont="1" applyFill="1" applyBorder="1" applyAlignment="1">
      <alignment horizontal="center"/>
    </xf>
    <xf numFmtId="167" fontId="2" fillId="12" borderId="17" xfId="1" applyNumberFormat="1" applyFont="1" applyFill="1" applyBorder="1" applyAlignment="1">
      <alignment horizontal="center"/>
    </xf>
    <xf numFmtId="0" fontId="21" fillId="12" borderId="16" xfId="0" applyFont="1" applyFill="1" applyBorder="1" applyAlignment="1">
      <alignment horizontal="center"/>
    </xf>
    <xf numFmtId="0" fontId="15" fillId="12" borderId="1" xfId="0" applyFont="1" applyFill="1" applyBorder="1"/>
    <xf numFmtId="0" fontId="21" fillId="12" borderId="1" xfId="0" applyFont="1" applyFill="1" applyBorder="1" applyAlignment="1">
      <alignment horizontal="center"/>
    </xf>
    <xf numFmtId="167" fontId="15" fillId="12" borderId="10" xfId="1" applyNumberFormat="1" applyFont="1" applyFill="1" applyBorder="1"/>
    <xf numFmtId="167" fontId="15" fillId="12" borderId="6" xfId="1" applyNumberFormat="1" applyFont="1" applyFill="1" applyBorder="1" applyAlignment="1">
      <alignment horizontal="center"/>
    </xf>
    <xf numFmtId="167" fontId="15" fillId="12" borderId="1" xfId="1" applyNumberFormat="1" applyFont="1" applyFill="1" applyBorder="1" applyAlignment="1">
      <alignment horizontal="center"/>
    </xf>
    <xf numFmtId="167" fontId="15" fillId="12" borderId="10" xfId="1" applyNumberFormat="1" applyFont="1" applyFill="1" applyBorder="1" applyAlignment="1">
      <alignment horizontal="center"/>
    </xf>
    <xf numFmtId="166" fontId="2" fillId="12" borderId="6" xfId="3" applyFont="1" applyFill="1" applyBorder="1" applyAlignment="1">
      <alignment horizontal="center"/>
    </xf>
    <xf numFmtId="166" fontId="2" fillId="12" borderId="1" xfId="3" applyFont="1" applyFill="1" applyBorder="1" applyAlignment="1">
      <alignment horizontal="center"/>
    </xf>
    <xf numFmtId="166" fontId="2" fillId="12" borderId="10" xfId="3" applyFont="1" applyFill="1" applyBorder="1" applyAlignment="1">
      <alignment horizontal="center"/>
    </xf>
    <xf numFmtId="0" fontId="2" fillId="12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/>
    </xf>
    <xf numFmtId="167" fontId="2" fillId="12" borderId="10" xfId="1" applyNumberFormat="1" applyFont="1" applyFill="1" applyBorder="1" applyAlignment="1">
      <alignment vertical="center"/>
    </xf>
    <xf numFmtId="167" fontId="2" fillId="12" borderId="6" xfId="1" applyNumberFormat="1" applyFont="1" applyFill="1" applyBorder="1" applyAlignment="1">
      <alignment horizontal="center" vertical="center"/>
    </xf>
    <xf numFmtId="167" fontId="2" fillId="12" borderId="1" xfId="1" applyNumberFormat="1" applyFont="1" applyFill="1" applyBorder="1" applyAlignment="1">
      <alignment horizontal="center" vertical="center"/>
    </xf>
    <xf numFmtId="167" fontId="2" fillId="12" borderId="10" xfId="1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wrapText="1"/>
    </xf>
    <xf numFmtId="0" fontId="6" fillId="12" borderId="16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166" fontId="2" fillId="12" borderId="6" xfId="3" applyFont="1" applyFill="1" applyBorder="1" applyAlignment="1">
      <alignment horizontal="center" vertical="center"/>
    </xf>
    <xf numFmtId="166" fontId="2" fillId="12" borderId="1" xfId="3" applyFont="1" applyFill="1" applyBorder="1" applyAlignment="1">
      <alignment horizontal="center" vertical="center"/>
    </xf>
    <xf numFmtId="166" fontId="2" fillId="12" borderId="10" xfId="3" applyFont="1" applyFill="1" applyBorder="1" applyAlignment="1">
      <alignment horizontal="center" vertical="center"/>
    </xf>
    <xf numFmtId="164" fontId="2" fillId="12" borderId="10" xfId="1" applyFont="1" applyFill="1" applyBorder="1" applyAlignment="1">
      <alignment horizontal="center" vertical="center"/>
    </xf>
    <xf numFmtId="0" fontId="2" fillId="12" borderId="17" xfId="0" applyFont="1" applyFill="1" applyBorder="1"/>
    <xf numFmtId="0" fontId="6" fillId="12" borderId="17" xfId="0" applyFont="1" applyFill="1" applyBorder="1" applyAlignment="1">
      <alignment horizontal="center"/>
    </xf>
    <xf numFmtId="167" fontId="2" fillId="12" borderId="18" xfId="1" applyNumberFormat="1" applyFont="1" applyFill="1" applyBorder="1"/>
    <xf numFmtId="167" fontId="2" fillId="12" borderId="3" xfId="1" applyNumberFormat="1" applyFont="1" applyFill="1" applyBorder="1" applyAlignment="1">
      <alignment horizontal="center"/>
    </xf>
    <xf numFmtId="167" fontId="2" fillId="12" borderId="4" xfId="1" applyNumberFormat="1" applyFont="1" applyFill="1" applyBorder="1" applyAlignment="1">
      <alignment horizontal="center"/>
    </xf>
    <xf numFmtId="167" fontId="2" fillId="12" borderId="34" xfId="1" applyNumberFormat="1" applyFont="1" applyFill="1" applyBorder="1" applyAlignment="1">
      <alignment horizontal="center"/>
    </xf>
    <xf numFmtId="167" fontId="2" fillId="12" borderId="18" xfId="1" applyNumberFormat="1" applyFont="1" applyFill="1" applyBorder="1" applyAlignment="1">
      <alignment horizontal="center"/>
    </xf>
    <xf numFmtId="0" fontId="9" fillId="12" borderId="17" xfId="0" applyFont="1" applyFill="1" applyBorder="1" applyAlignment="1">
      <alignment horizontal="center"/>
    </xf>
    <xf numFmtId="164" fontId="2" fillId="12" borderId="34" xfId="1" applyFont="1" applyFill="1" applyBorder="1" applyAlignment="1">
      <alignment horizontal="center"/>
    </xf>
    <xf numFmtId="164" fontId="2" fillId="12" borderId="18" xfId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wrapText="1"/>
    </xf>
    <xf numFmtId="9" fontId="2" fillId="12" borderId="10" xfId="2" applyFont="1" applyFill="1" applyBorder="1" applyAlignment="1">
      <alignment horizontal="center"/>
    </xf>
    <xf numFmtId="0" fontId="6" fillId="12" borderId="62" xfId="0" applyFont="1" applyFill="1" applyBorder="1" applyAlignment="1">
      <alignment horizontal="center"/>
    </xf>
    <xf numFmtId="166" fontId="2" fillId="12" borderId="43" xfId="3" applyFont="1" applyFill="1" applyBorder="1" applyAlignment="1">
      <alignment horizontal="center"/>
    </xf>
    <xf numFmtId="164" fontId="2" fillId="12" borderId="28" xfId="1" applyFont="1" applyFill="1" applyBorder="1" applyAlignment="1">
      <alignment horizontal="center"/>
    </xf>
    <xf numFmtId="167" fontId="2" fillId="12" borderId="60" xfId="1" applyNumberFormat="1" applyFont="1" applyFill="1" applyBorder="1" applyAlignment="1">
      <alignment horizontal="center"/>
    </xf>
    <xf numFmtId="167" fontId="2" fillId="12" borderId="61" xfId="1" applyNumberFormat="1" applyFont="1" applyFill="1" applyBorder="1" applyAlignment="1">
      <alignment horizontal="center"/>
    </xf>
    <xf numFmtId="0" fontId="2" fillId="12" borderId="30" xfId="0" applyFont="1" applyFill="1" applyBorder="1" applyAlignment="1">
      <alignment vertical="center"/>
    </xf>
    <xf numFmtId="0" fontId="9" fillId="12" borderId="30" xfId="0" applyFont="1" applyFill="1" applyBorder="1" applyAlignment="1">
      <alignment horizontal="center" vertical="center" wrapText="1"/>
    </xf>
    <xf numFmtId="167" fontId="2" fillId="12" borderId="28" xfId="1" applyNumberFormat="1" applyFont="1" applyFill="1" applyBorder="1" applyAlignment="1">
      <alignment vertical="center"/>
    </xf>
    <xf numFmtId="167" fontId="2" fillId="12" borderId="29" xfId="1" applyNumberFormat="1" applyFont="1" applyFill="1" applyBorder="1" applyAlignment="1">
      <alignment horizontal="center" vertical="center"/>
    </xf>
    <xf numFmtId="167" fontId="2" fillId="12" borderId="30" xfId="1" applyNumberFormat="1" applyFont="1" applyFill="1" applyBorder="1" applyAlignment="1">
      <alignment horizontal="center" vertical="center"/>
    </xf>
    <xf numFmtId="167" fontId="2" fillId="12" borderId="28" xfId="1" applyNumberFormat="1" applyFont="1" applyFill="1" applyBorder="1" applyAlignment="1">
      <alignment horizontal="center" vertical="center"/>
    </xf>
    <xf numFmtId="166" fontId="2" fillId="11" borderId="9" xfId="3" applyFont="1" applyFill="1" applyBorder="1"/>
    <xf numFmtId="167" fontId="6" fillId="0" borderId="37" xfId="1" applyNumberFormat="1" applyFont="1" applyFill="1" applyBorder="1"/>
    <xf numFmtId="167" fontId="2" fillId="0" borderId="42" xfId="1" applyNumberFormat="1" applyFont="1" applyFill="1" applyBorder="1"/>
    <xf numFmtId="167" fontId="2" fillId="0" borderId="7" xfId="1" applyNumberFormat="1" applyFont="1" applyFill="1" applyBorder="1"/>
    <xf numFmtId="167" fontId="2" fillId="0" borderId="1" xfId="1" applyNumberFormat="1" applyFont="1" applyFill="1" applyBorder="1"/>
    <xf numFmtId="167" fontId="2" fillId="0" borderId="17" xfId="1" applyNumberFormat="1" applyFont="1" applyFill="1" applyBorder="1"/>
    <xf numFmtId="166" fontId="2" fillId="0" borderId="17" xfId="3" applyFont="1" applyFill="1" applyBorder="1"/>
    <xf numFmtId="167" fontId="2" fillId="0" borderId="18" xfId="1" applyNumberFormat="1" applyFont="1" applyFill="1" applyBorder="1"/>
    <xf numFmtId="0" fontId="2" fillId="0" borderId="6" xfId="0" applyFont="1" applyFill="1" applyBorder="1"/>
    <xf numFmtId="166" fontId="2" fillId="0" borderId="1" xfId="3" applyFont="1" applyFill="1" applyBorder="1"/>
    <xf numFmtId="166" fontId="2" fillId="0" borderId="19" xfId="3" applyFont="1" applyFill="1" applyBorder="1"/>
    <xf numFmtId="167" fontId="2" fillId="0" borderId="25" xfId="1" applyNumberFormat="1" applyFont="1" applyFill="1" applyBorder="1"/>
    <xf numFmtId="167" fontId="6" fillId="0" borderId="37" xfId="1" applyNumberFormat="1" applyFont="1" applyFill="1" applyBorder="1" applyAlignment="1">
      <alignment vertical="center"/>
    </xf>
    <xf numFmtId="167" fontId="2" fillId="0" borderId="43" xfId="1" applyNumberFormat="1" applyFont="1" applyFill="1" applyBorder="1" applyAlignment="1">
      <alignment vertical="center"/>
    </xf>
    <xf numFmtId="167" fontId="2" fillId="0" borderId="33" xfId="1" applyNumberFormat="1" applyFont="1" applyFill="1" applyBorder="1" applyAlignment="1">
      <alignment vertical="center"/>
    </xf>
    <xf numFmtId="167" fontId="2" fillId="0" borderId="30" xfId="1" applyNumberFormat="1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166" fontId="2" fillId="0" borderId="30" xfId="3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6" fontId="2" fillId="0" borderId="29" xfId="3" applyFont="1" applyFill="1" applyBorder="1" applyAlignment="1">
      <alignment vertical="center"/>
    </xf>
    <xf numFmtId="166" fontId="2" fillId="0" borderId="28" xfId="3" applyFont="1" applyFill="1" applyBorder="1" applyAlignment="1">
      <alignment vertical="center"/>
    </xf>
    <xf numFmtId="166" fontId="2" fillId="0" borderId="25" xfId="3" applyFont="1" applyFill="1" applyBorder="1" applyAlignment="1">
      <alignment vertical="center"/>
    </xf>
    <xf numFmtId="167" fontId="2" fillId="0" borderId="37" xfId="1" applyNumberFormat="1" applyFont="1" applyFill="1" applyBorder="1"/>
    <xf numFmtId="166" fontId="6" fillId="8" borderId="0" xfId="3" applyFont="1" applyFill="1"/>
    <xf numFmtId="166" fontId="2" fillId="8" borderId="0" xfId="3" applyFont="1" applyFill="1"/>
    <xf numFmtId="166" fontId="28" fillId="0" borderId="4" xfId="3" applyFont="1" applyBorder="1"/>
    <xf numFmtId="166" fontId="28" fillId="0" borderId="1" xfId="3" applyFont="1" applyBorder="1"/>
    <xf numFmtId="166" fontId="28" fillId="0" borderId="0" xfId="3" applyFont="1"/>
    <xf numFmtId="166" fontId="29" fillId="0" borderId="1" xfId="3" applyFont="1" applyBorder="1"/>
    <xf numFmtId="166" fontId="2" fillId="0" borderId="71" xfId="3" applyFont="1" applyBorder="1"/>
    <xf numFmtId="166" fontId="2" fillId="0" borderId="56" xfId="3" applyFont="1" applyBorder="1"/>
    <xf numFmtId="166" fontId="2" fillId="0" borderId="72" xfId="3" applyFont="1" applyBorder="1"/>
    <xf numFmtId="1" fontId="19" fillId="10" borderId="0" xfId="3" applyNumberFormat="1" applyFont="1" applyFill="1" applyAlignment="1">
      <alignment vertical="center"/>
    </xf>
    <xf numFmtId="167" fontId="2" fillId="11" borderId="20" xfId="1" applyNumberFormat="1" applyFont="1" applyFill="1" applyBorder="1"/>
    <xf numFmtId="167" fontId="19" fillId="10" borderId="2" xfId="1" applyNumberFormat="1" applyFont="1" applyFill="1" applyBorder="1" applyAlignment="1">
      <alignment horizontal="center" vertical="center"/>
    </xf>
    <xf numFmtId="167" fontId="2" fillId="12" borderId="10" xfId="2" applyNumberFormat="1" applyFont="1" applyFill="1" applyBorder="1" applyAlignment="1">
      <alignment horizontal="center"/>
    </xf>
    <xf numFmtId="167" fontId="2" fillId="0" borderId="10" xfId="2" applyNumberFormat="1" applyFont="1" applyBorder="1" applyAlignment="1">
      <alignment horizontal="center"/>
    </xf>
    <xf numFmtId="9" fontId="2" fillId="0" borderId="10" xfId="2" applyFont="1" applyBorder="1"/>
    <xf numFmtId="0" fontId="6" fillId="0" borderId="63" xfId="0" applyFont="1" applyBorder="1" applyAlignment="1">
      <alignment horizontal="center"/>
    </xf>
    <xf numFmtId="167" fontId="2" fillId="13" borderId="0" xfId="0" applyNumberFormat="1" applyFont="1" applyFill="1"/>
    <xf numFmtId="164" fontId="2" fillId="0" borderId="0" xfId="1" applyFont="1"/>
    <xf numFmtId="168" fontId="2" fillId="0" borderId="0" xfId="0" applyNumberFormat="1" applyFont="1"/>
    <xf numFmtId="167" fontId="2" fillId="0" borderId="0" xfId="1" applyNumberFormat="1" applyFont="1" applyFill="1" applyAlignment="1">
      <alignment vertical="center"/>
    </xf>
    <xf numFmtId="167" fontId="2" fillId="0" borderId="0" xfId="1" applyNumberFormat="1" applyFont="1" applyAlignment="1">
      <alignment vertical="center"/>
    </xf>
    <xf numFmtId="166" fontId="2" fillId="8" borderId="1" xfId="3" applyFont="1" applyFill="1" applyBorder="1"/>
    <xf numFmtId="166" fontId="30" fillId="0" borderId="1" xfId="3" applyFont="1" applyBorder="1"/>
    <xf numFmtId="166" fontId="30" fillId="0" borderId="0" xfId="3" applyFont="1"/>
    <xf numFmtId="166" fontId="25" fillId="0" borderId="0" xfId="3" applyFont="1"/>
    <xf numFmtId="166" fontId="29" fillId="0" borderId="0" xfId="3" applyFont="1"/>
    <xf numFmtId="166" fontId="25" fillId="8" borderId="1" xfId="3" applyFont="1" applyFill="1" applyBorder="1"/>
    <xf numFmtId="167" fontId="6" fillId="11" borderId="22" xfId="1" applyNumberFormat="1" applyFont="1" applyFill="1" applyBorder="1" applyAlignment="1">
      <alignment horizontal="center" vertical="center"/>
    </xf>
    <xf numFmtId="167" fontId="6" fillId="9" borderId="23" xfId="1" applyNumberFormat="1" applyFont="1" applyFill="1" applyBorder="1"/>
    <xf numFmtId="167" fontId="2" fillId="12" borderId="49" xfId="1" applyNumberFormat="1" applyFont="1" applyFill="1" applyBorder="1" applyAlignment="1">
      <alignment horizontal="center"/>
    </xf>
    <xf numFmtId="164" fontId="2" fillId="12" borderId="6" xfId="1" applyFont="1" applyFill="1" applyBorder="1" applyAlignment="1">
      <alignment horizontal="center"/>
    </xf>
    <xf numFmtId="164" fontId="2" fillId="12" borderId="1" xfId="1" applyFont="1" applyFill="1" applyBorder="1" applyAlignment="1">
      <alignment horizontal="center"/>
    </xf>
    <xf numFmtId="166" fontId="2" fillId="8" borderId="10" xfId="3" applyFont="1" applyFill="1" applyBorder="1"/>
    <xf numFmtId="166" fontId="2" fillId="20" borderId="10" xfId="3" applyFont="1" applyFill="1" applyBorder="1"/>
    <xf numFmtId="166" fontId="2" fillId="19" borderId="10" xfId="3" applyFont="1" applyFill="1" applyBorder="1"/>
    <xf numFmtId="166" fontId="25" fillId="0" borderId="10" xfId="3" applyFont="1" applyBorder="1"/>
    <xf numFmtId="0" fontId="6" fillId="13" borderId="16" xfId="0" applyFont="1" applyFill="1" applyBorder="1" applyAlignment="1">
      <alignment horizontal="center"/>
    </xf>
    <xf numFmtId="0" fontId="2" fillId="13" borderId="30" xfId="0" applyFont="1" applyFill="1" applyBorder="1"/>
    <xf numFmtId="0" fontId="9" fillId="13" borderId="30" xfId="0" applyFont="1" applyFill="1" applyBorder="1" applyAlignment="1">
      <alignment horizontal="center"/>
    </xf>
    <xf numFmtId="167" fontId="25" fillId="13" borderId="28" xfId="1" applyNumberFormat="1" applyFont="1" applyFill="1" applyBorder="1"/>
    <xf numFmtId="167" fontId="2" fillId="13" borderId="29" xfId="1" applyNumberFormat="1" applyFont="1" applyFill="1" applyBorder="1" applyAlignment="1">
      <alignment horizontal="center"/>
    </xf>
    <xf numFmtId="167" fontId="2" fillId="13" borderId="30" xfId="1" applyNumberFormat="1" applyFont="1" applyFill="1" applyBorder="1" applyAlignment="1">
      <alignment horizontal="center"/>
    </xf>
    <xf numFmtId="167" fontId="2" fillId="13" borderId="28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17" borderId="32" xfId="0" applyFont="1" applyFill="1" applyBorder="1" applyAlignment="1">
      <alignment horizontal="center" vertical="center" wrapText="1"/>
    </xf>
    <xf numFmtId="0" fontId="6" fillId="17" borderId="38" xfId="0" applyFont="1" applyFill="1" applyBorder="1" applyAlignment="1">
      <alignment horizontal="center" vertical="center" wrapText="1"/>
    </xf>
    <xf numFmtId="0" fontId="6" fillId="17" borderId="36" xfId="0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center"/>
    </xf>
    <xf numFmtId="0" fontId="2" fillId="16" borderId="48" xfId="0" applyFont="1" applyFill="1" applyBorder="1" applyAlignment="1">
      <alignment horizontal="center"/>
    </xf>
    <xf numFmtId="0" fontId="2" fillId="16" borderId="10" xfId="0" applyFont="1" applyFill="1" applyBorder="1" applyAlignment="1">
      <alignment horizontal="center"/>
    </xf>
    <xf numFmtId="0" fontId="2" fillId="16" borderId="42" xfId="0" applyFont="1" applyFill="1" applyBorder="1" applyAlignment="1">
      <alignment horizontal="center"/>
    </xf>
    <xf numFmtId="0" fontId="2" fillId="16" borderId="3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6" fillId="10" borderId="32" xfId="0" applyFont="1" applyFill="1" applyBorder="1" applyAlignment="1">
      <alignment horizontal="center"/>
    </xf>
    <xf numFmtId="0" fontId="6" fillId="10" borderId="38" xfId="0" applyFont="1" applyFill="1" applyBorder="1" applyAlignment="1">
      <alignment horizontal="center"/>
    </xf>
    <xf numFmtId="167" fontId="2" fillId="0" borderId="49" xfId="1" applyNumberFormat="1" applyFont="1" applyBorder="1" applyAlignment="1">
      <alignment horizontal="center"/>
    </xf>
    <xf numFmtId="167" fontId="2" fillId="0" borderId="56" xfId="1" applyNumberFormat="1" applyFont="1" applyBorder="1" applyAlignment="1">
      <alignment horizontal="center"/>
    </xf>
    <xf numFmtId="167" fontId="2" fillId="0" borderId="57" xfId="1" applyNumberFormat="1" applyFont="1" applyBorder="1" applyAlignment="1">
      <alignment horizontal="center"/>
    </xf>
    <xf numFmtId="0" fontId="6" fillId="15" borderId="32" xfId="0" applyFont="1" applyFill="1" applyBorder="1" applyAlignment="1">
      <alignment horizontal="center"/>
    </xf>
    <xf numFmtId="0" fontId="6" fillId="15" borderId="38" xfId="0" applyFont="1" applyFill="1" applyBorder="1" applyAlignment="1">
      <alignment horizontal="center"/>
    </xf>
    <xf numFmtId="0" fontId="6" fillId="15" borderId="14" xfId="0" applyFont="1" applyFill="1" applyBorder="1" applyAlignment="1">
      <alignment horizontal="center"/>
    </xf>
    <xf numFmtId="0" fontId="6" fillId="15" borderId="50" xfId="0" applyFont="1" applyFill="1" applyBorder="1" applyAlignment="1">
      <alignment horizontal="center"/>
    </xf>
    <xf numFmtId="0" fontId="6" fillId="15" borderId="51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167" fontId="2" fillId="12" borderId="49" xfId="1" applyNumberFormat="1" applyFont="1" applyFill="1" applyBorder="1" applyAlignment="1">
      <alignment horizontal="center"/>
    </xf>
    <xf numFmtId="167" fontId="2" fillId="12" borderId="56" xfId="1" applyNumberFormat="1" applyFont="1" applyFill="1" applyBorder="1" applyAlignment="1">
      <alignment horizontal="center"/>
    </xf>
    <xf numFmtId="167" fontId="2" fillId="12" borderId="57" xfId="1" applyNumberFormat="1" applyFont="1" applyFill="1" applyBorder="1" applyAlignment="1">
      <alignment horizontal="center"/>
    </xf>
    <xf numFmtId="0" fontId="6" fillId="12" borderId="32" xfId="0" applyFont="1" applyFill="1" applyBorder="1" applyAlignment="1">
      <alignment horizontal="center"/>
    </xf>
    <xf numFmtId="0" fontId="6" fillId="12" borderId="38" xfId="0" applyFont="1" applyFill="1" applyBorder="1" applyAlignment="1">
      <alignment horizontal="center"/>
    </xf>
    <xf numFmtId="0" fontId="6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9" fillId="17" borderId="32" xfId="0" applyFont="1" applyFill="1" applyBorder="1" applyAlignment="1">
      <alignment horizontal="center" vertical="center" wrapText="1"/>
    </xf>
    <xf numFmtId="0" fontId="9" fillId="17" borderId="38" xfId="0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 wrapText="1"/>
    </xf>
    <xf numFmtId="0" fontId="9" fillId="10" borderId="32" xfId="0" applyNumberFormat="1" applyFont="1" applyFill="1" applyBorder="1" applyAlignment="1">
      <alignment horizontal="center"/>
    </xf>
    <xf numFmtId="0" fontId="9" fillId="10" borderId="38" xfId="0" applyNumberFormat="1" applyFont="1" applyFill="1" applyBorder="1" applyAlignment="1">
      <alignment horizontal="center"/>
    </xf>
    <xf numFmtId="0" fontId="9" fillId="15" borderId="32" xfId="0" applyFont="1" applyFill="1" applyBorder="1" applyAlignment="1">
      <alignment horizontal="center"/>
    </xf>
    <xf numFmtId="0" fontId="9" fillId="15" borderId="38" xfId="0" applyFont="1" applyFill="1" applyBorder="1" applyAlignment="1">
      <alignment horizontal="center"/>
    </xf>
    <xf numFmtId="0" fontId="9" fillId="15" borderId="14" xfId="0" applyFont="1" applyFill="1" applyBorder="1" applyAlignment="1">
      <alignment horizontal="center"/>
    </xf>
    <xf numFmtId="0" fontId="9" fillId="15" borderId="50" xfId="0" applyFont="1" applyFill="1" applyBorder="1" applyAlignment="1">
      <alignment horizontal="center"/>
    </xf>
    <xf numFmtId="0" fontId="9" fillId="15" borderId="51" xfId="0" applyFont="1" applyFill="1" applyBorder="1" applyAlignment="1">
      <alignment horizontal="center"/>
    </xf>
    <xf numFmtId="0" fontId="9" fillId="9" borderId="32" xfId="0" applyFont="1" applyFill="1" applyBorder="1" applyAlignment="1">
      <alignment horizontal="center"/>
    </xf>
    <xf numFmtId="0" fontId="9" fillId="9" borderId="38" xfId="0" applyFont="1" applyFill="1" applyBorder="1" applyAlignment="1">
      <alignment horizontal="center"/>
    </xf>
    <xf numFmtId="0" fontId="9" fillId="9" borderId="36" xfId="0" applyFont="1" applyFill="1" applyBorder="1" applyAlignment="1">
      <alignment horizontal="center"/>
    </xf>
    <xf numFmtId="0" fontId="9" fillId="12" borderId="32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166" fontId="7" fillId="10" borderId="12" xfId="3" applyFont="1" applyFill="1" applyBorder="1" applyAlignment="1">
      <alignment horizontal="center" vertical="center"/>
    </xf>
    <xf numFmtId="166" fontId="7" fillId="10" borderId="13" xfId="3" applyFont="1" applyFill="1" applyBorder="1" applyAlignment="1">
      <alignment horizontal="center" vertical="center"/>
    </xf>
    <xf numFmtId="166" fontId="7" fillId="10" borderId="15" xfId="3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166" fontId="7" fillId="6" borderId="12" xfId="3" applyFont="1" applyFill="1" applyBorder="1" applyAlignment="1">
      <alignment horizontal="center" vertical="center" wrapText="1"/>
    </xf>
    <xf numFmtId="166" fontId="7" fillId="6" borderId="13" xfId="3" applyFont="1" applyFill="1" applyBorder="1" applyAlignment="1">
      <alignment horizontal="center" vertical="center" wrapText="1"/>
    </xf>
    <xf numFmtId="166" fontId="7" fillId="6" borderId="32" xfId="3" applyFont="1" applyFill="1" applyBorder="1" applyAlignment="1">
      <alignment horizontal="center" vertical="center" wrapText="1"/>
    </xf>
    <xf numFmtId="166" fontId="7" fillId="6" borderId="38" xfId="3" applyFont="1" applyFill="1" applyBorder="1" applyAlignment="1">
      <alignment horizontal="center" vertical="center" wrapText="1"/>
    </xf>
    <xf numFmtId="166" fontId="7" fillId="6" borderId="36" xfId="3" applyFont="1" applyFill="1" applyBorder="1" applyAlignment="1">
      <alignment horizontal="center" vertical="center" wrapText="1"/>
    </xf>
    <xf numFmtId="166" fontId="7" fillId="10" borderId="12" xfId="3" applyFont="1" applyFill="1" applyBorder="1" applyAlignment="1">
      <alignment horizontal="center" vertical="center" wrapText="1"/>
    </xf>
    <xf numFmtId="166" fontId="7" fillId="10" borderId="13" xfId="3" applyFont="1" applyFill="1" applyBorder="1" applyAlignment="1">
      <alignment horizontal="center" vertical="center" wrapText="1"/>
    </xf>
    <xf numFmtId="166" fontId="7" fillId="10" borderId="15" xfId="3" applyFont="1" applyFill="1" applyBorder="1" applyAlignment="1">
      <alignment horizontal="center" vertical="center" wrapText="1"/>
    </xf>
    <xf numFmtId="0" fontId="9" fillId="10" borderId="32" xfId="3" applyNumberFormat="1" applyFont="1" applyFill="1" applyBorder="1" applyAlignment="1">
      <alignment horizontal="center"/>
    </xf>
    <xf numFmtId="0" fontId="9" fillId="10" borderId="38" xfId="3" applyNumberFormat="1" applyFont="1" applyFill="1" applyBorder="1" applyAlignment="1">
      <alignment horizontal="center"/>
    </xf>
    <xf numFmtId="166" fontId="4" fillId="0" borderId="0" xfId="3" applyFont="1" applyAlignment="1">
      <alignment horizontal="center" vertical="center"/>
    </xf>
    <xf numFmtId="166" fontId="7" fillId="6" borderId="22" xfId="3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9" fillId="10" borderId="32" xfId="0" applyFont="1" applyFill="1" applyBorder="1" applyAlignment="1">
      <alignment horizontal="center"/>
    </xf>
    <xf numFmtId="0" fontId="9" fillId="10" borderId="3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67" fontId="2" fillId="0" borderId="10" xfId="1" applyNumberFormat="1" applyFont="1" applyBorder="1" applyAlignment="1">
      <alignment horizontal="center"/>
    </xf>
    <xf numFmtId="167" fontId="2" fillId="0" borderId="42" xfId="1" applyNumberFormat="1" applyFont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 vertical="center"/>
    </xf>
    <xf numFmtId="166" fontId="7" fillId="6" borderId="14" xfId="3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6" fillId="19" borderId="49" xfId="0" applyFont="1" applyFill="1" applyBorder="1" applyAlignment="1">
      <alignment horizontal="center"/>
    </xf>
    <xf numFmtId="0" fontId="6" fillId="19" borderId="56" xfId="0" applyFont="1" applyFill="1" applyBorder="1" applyAlignment="1">
      <alignment horizontal="center"/>
    </xf>
    <xf numFmtId="0" fontId="6" fillId="19" borderId="57" xfId="0" applyFont="1" applyFill="1" applyBorder="1" applyAlignment="1">
      <alignment horizontal="center"/>
    </xf>
    <xf numFmtId="0" fontId="6" fillId="19" borderId="69" xfId="0" applyFont="1" applyFill="1" applyBorder="1" applyAlignment="1">
      <alignment horizontal="center"/>
    </xf>
    <xf numFmtId="0" fontId="6" fillId="19" borderId="67" xfId="0" applyFont="1" applyFill="1" applyBorder="1" applyAlignment="1">
      <alignment horizontal="center"/>
    </xf>
    <xf numFmtId="0" fontId="6" fillId="19" borderId="70" xfId="0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</cellXfs>
  <cellStyles count="7">
    <cellStyle name="Millares" xfId="1" builtinId="3"/>
    <cellStyle name="Millares [0]" xfId="3" builtinId="6"/>
    <cellStyle name="Millares 2" xfId="6" xr:uid="{00000000-0005-0000-0000-000002000000}"/>
    <cellStyle name="Moneda [0]" xfId="5" builtinId="7"/>
    <cellStyle name="Normal" xfId="0" builtinId="0"/>
    <cellStyle name="Normal_42_LAB_BASICOS_03" xfId="4" xr:uid="{00000000-0005-0000-0000-000005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  <color rgb="FFFFB7B7"/>
      <color rgb="FFABFFD1"/>
      <color rgb="FFEDA3FF"/>
      <color rgb="FFFF6D6D"/>
      <color rgb="FFCAE8AA"/>
      <color rgb="FFF6D1FF"/>
      <color rgb="FFF4C5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1787711</xdr:colOff>
      <xdr:row>1</xdr:row>
      <xdr:rowOff>762000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4" y="0"/>
          <a:ext cx="1759136" cy="94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94E5B06B-D937-4626-9FC4-C1D67657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sa Belen" refreshedDate="43986.67221365741" createdVersion="6" refreshedVersion="6" minRefreshableVersion="3" recordCount="43" xr:uid="{00000000-000A-0000-FFFF-FFFF01000000}">
  <cacheSource type="worksheet">
    <worksheetSource ref="A35:AG84" sheet="Consolidado '20"/>
  </cacheSource>
  <cacheFields count="33">
    <cacheField name="Nº" numFmtId="0">
      <sharedItems containsString="0" containsBlank="1" containsNumber="1" containsInteger="1" minValue="0" maxValue="15"/>
    </cacheField>
    <cacheField name="CONCEPTO" numFmtId="0">
      <sharedItems containsBlank="1" count="43">
        <s v="Salud Oral Niños 6 años"/>
        <s v="Atención Odontólogico de 60 años"/>
        <s v="CECOSF"/>
        <s v="Salud Pueblos Indigenas"/>
        <s v="Especialidades Ambulatorias"/>
        <s v="Procedimientos cutaneos baja complejidad"/>
        <s v="Atención de Mujeres"/>
        <s v="Rehabiltación Integral"/>
        <s v="Apoyo a las Buenas Practicas. Participación Ciudadana"/>
        <s v="Más Adultos Mayores Autovalentes (AMA)"/>
        <s v="PASMI"/>
        <s v="Mejoramiento del acceso a la Atención Odontologica"/>
        <s v="Acceso a la atención de Migrante"/>
        <s v="Imágenes Diagnósticas"/>
        <s v="SUR"/>
        <s v="Elige Vida Sana"/>
        <s v="Hombres de Escasos Recursos (HER)"/>
        <s v="Más Sanrisas"/>
        <s v="Atención Odontólogica 4º Medio"/>
        <s v="Atención Odontólogica Domiciliaria"/>
        <s v="Espacio Amigable para Adolescentes"/>
        <s v="Mejoria en la Equidad de Salud Rural"/>
        <s v="Control Salud Niñ@ Sano"/>
        <s v="Acompañamiento Psicosocial"/>
        <s v="Modelo de Atención Integral Salud Familiar Comunitaria MAIS"/>
        <s v="SAR"/>
        <s v="SAPU"/>
        <s v="SAPU Dental"/>
        <s v="SAPU Verano"/>
        <s v="FOFAR"/>
        <s v="SENAME"/>
        <s v="Sembrando Sonrisas"/>
        <s v="DIR Asistida en Acohol, Tabaco y Drogas"/>
        <s v="Refuerzo RRHH"/>
        <s v="Refuerzo RRHH- PAP"/>
        <s v="Refuerzo RRHH- SIGGES"/>
        <s v="Chile Crece Contigo CHCC"/>
        <s v="PAC Componente Capacitación Universal"/>
        <s v="Refuerzo consultorio Campaña Invierno"/>
        <s v="Refuerzo Médico y Paramedico SAPU C.I."/>
        <s v="Refuerzo Kine en SAPU C.I."/>
        <s v="AGL "/>
        <m/>
      </sharedItems>
    </cacheField>
    <cacheField name="RES" numFmtId="0">
      <sharedItems containsNonDate="0" containsString="0" containsBlank="1" count="1">
        <m/>
      </sharedItems>
    </cacheField>
    <cacheField name="RECURSOS ASINGADOS" numFmtId="167">
      <sharedItems containsSemiMixedTypes="0" containsString="0" containsNumber="1" containsInteger="1" minValue="0" maxValue="2119085859" count="40">
        <n v="13377108"/>
        <n v="531055602"/>
        <n v="1067878450"/>
        <n v="0"/>
        <n v="1439070647"/>
        <n v="83526300"/>
        <n v="31395200"/>
        <n v="526095103"/>
        <n v="668562534"/>
        <n v="290874596"/>
        <n v="947370962"/>
        <n v="1133652300"/>
        <n v="477757020"/>
        <n v="393570042"/>
        <n v="93279849"/>
        <n v="985027875"/>
        <n v="234800124"/>
        <n v="112529927"/>
        <n v="154147272"/>
        <n v="145295732"/>
        <n v="80557000"/>
        <n v="335028068"/>
        <n v="155260511"/>
        <n v="713765916"/>
        <n v="1662611172"/>
        <n v="29326476"/>
        <n v="159578370"/>
        <n v="2119085859"/>
        <n v="156676002"/>
        <n v="124134220"/>
        <n v="102340785"/>
        <n v="1907008342"/>
        <n v="1223299"/>
        <n v="4366488"/>
        <n v="619553020"/>
        <n v="31494214"/>
        <n v="28959120"/>
        <n v="66702867"/>
        <n v="36461952"/>
        <n v="131629508"/>
      </sharedItems>
    </cacheField>
    <cacheField name="1" numFmtId="167">
      <sharedItems containsString="0" containsBlank="1" containsNumber="1" minValue="9363975.5999999996" maxValue="1334905839.3999999"/>
    </cacheField>
    <cacheField name="2" numFmtId="167">
      <sharedItems containsString="0" containsBlank="1" containsNumber="1" minValue="4013132.4" maxValue="572102502.60000002"/>
    </cacheField>
    <cacheField name="3" numFmtId="167">
      <sharedItems containsString="0" containsBlank="1" containsNumber="1" containsInteger="1" minValue="39813085" maxValue="39813085"/>
    </cacheField>
    <cacheField name="RECURSOS RECIBIDOS" numFmtId="166">
      <sharedItems containsMixedTypes="1" containsNumber="1" minValue="0" maxValue="1807627421" count="36">
        <n v="9363976.0999999978"/>
        <n v="371738921.39999998"/>
        <n v="444949354"/>
        <n v="0"/>
        <n v="1007442786"/>
        <n v="58561743"/>
        <n v="22069973"/>
        <n v="368266572"/>
        <n v="467993773.80000001"/>
        <n v="203905476"/>
        <e v="#REF!"/>
        <n v="199065425"/>
        <n v="275499027.19999993"/>
        <n v="65295894.299999997"/>
        <n v="689519512.5"/>
        <n v="164360086.80000001"/>
        <n v="78770948.900000006"/>
        <n v="107903087"/>
        <n v="85015073"/>
        <n v="56389900"/>
        <n v="241781416"/>
        <n v="108433725"/>
        <n v="304902465"/>
        <n v="692754655"/>
        <n v="12219365"/>
        <n v="159578370"/>
        <n v="1480585806"/>
        <n v="109673199"/>
        <n v="82071746.399999991"/>
        <n v="71701545"/>
        <n v="1807627421"/>
        <n v="3903653"/>
        <n v="309776496"/>
        <n v="22045950"/>
        <n v="64761045"/>
        <n v="353698"/>
      </sharedItems>
    </cacheField>
    <cacheField name="ENERO " numFmtId="166">
      <sharedItems containsSemiMixedTypes="0" containsString="0" containsNumber="1" containsInteger="1" minValue="0" maxValue="0"/>
    </cacheField>
    <cacheField name="FEBRERO" numFmtId="166">
      <sharedItems containsSemiMixedTypes="0" containsString="0" containsNumber="1" containsInteger="1" minValue="0" maxValue="0"/>
    </cacheField>
    <cacheField name="MARZO" numFmtId="166">
      <sharedItems containsSemiMixedTypes="0" containsString="0" containsNumber="1" minValue="0" maxValue="764021553.19043601"/>
    </cacheField>
    <cacheField name="ABRIL" numFmtId="166">
      <sharedItems containsSemiMixedTypes="0" containsString="0" containsNumber="1" minValue="0" maxValue="967491295"/>
    </cacheField>
    <cacheField name="MAYO" numFmtId="166">
      <sharedItems containsMixedTypes="1" containsNumber="1" minValue="0" maxValue="790142070"/>
    </cacheField>
    <cacheField name="JUNIO" numFmtId="166">
      <sharedItems containsSemiMixedTypes="0" containsString="0" containsNumber="1" containsInteger="1" minValue="0" maxValue="0"/>
    </cacheField>
    <cacheField name="JULIO" numFmtId="166">
      <sharedItems containsSemiMixedTypes="0" containsString="0" containsNumber="1" containsInteger="1" minValue="0" maxValue="0"/>
    </cacheField>
    <cacheField name="AGOSTO" numFmtId="166">
      <sharedItems containsSemiMixedTypes="0" containsString="0" containsNumber="1" containsInteger="1" minValue="0" maxValue="0"/>
    </cacheField>
    <cacheField name="SEPTIEMBRE" numFmtId="166">
      <sharedItems containsSemiMixedTypes="0" containsString="0" containsNumber="1" containsInteger="1" minValue="0" maxValue="0"/>
    </cacheField>
    <cacheField name="OCTUBRE" numFmtId="166">
      <sharedItems containsSemiMixedTypes="0" containsString="0" containsNumber="1" containsInteger="1" minValue="0" maxValue="0"/>
    </cacheField>
    <cacheField name="NOVIEMBRE" numFmtId="166">
      <sharedItems containsSemiMixedTypes="0" containsString="0" containsNumber="1" containsInteger="1" minValue="0" maxValue="0"/>
    </cacheField>
    <cacheField name="DICIEMBRE" numFmtId="166">
      <sharedItems containsSemiMixedTypes="0" containsString="0" containsNumber="1" containsInteger="1" minValue="0" maxValue="0"/>
    </cacheField>
    <cacheField name="ENERO 2" numFmtId="166">
      <sharedItems containsSemiMixedTypes="0" containsString="0" containsNumber="1" containsInteger="1" minValue="0" maxValue="0"/>
    </cacheField>
    <cacheField name="FEBRERO2" numFmtId="166">
      <sharedItems containsSemiMixedTypes="0" containsString="0" containsNumber="1" containsInteger="1" minValue="0" maxValue="0"/>
    </cacheField>
    <cacheField name="MARZO2" numFmtId="166">
      <sharedItems containsSemiMixedTypes="0" containsString="0" containsNumber="1" minValue="0" maxValue="764021553.19043601"/>
    </cacheField>
    <cacheField name="ABRIL2" numFmtId="166">
      <sharedItems containsSemiMixedTypes="0" containsString="0" containsNumber="1" minValue="0" maxValue="967491295"/>
    </cacheField>
    <cacheField name="MAYO2" numFmtId="166">
      <sharedItems containsSemiMixedTypes="0" containsString="0" containsNumber="1" minValue="0" maxValue="790142070"/>
    </cacheField>
    <cacheField name="JUNIO2" numFmtId="166">
      <sharedItems containsSemiMixedTypes="0" containsString="0" containsNumber="1" containsInteger="1" minValue="0" maxValue="0"/>
    </cacheField>
    <cacheField name="JULIO2" numFmtId="166">
      <sharedItems containsSemiMixedTypes="0" containsString="0" containsNumber="1" containsInteger="1" minValue="0" maxValue="0"/>
    </cacheField>
    <cacheField name="AGOSTO2" numFmtId="166">
      <sharedItems containsSemiMixedTypes="0" containsString="0" containsNumber="1" containsInteger="1" minValue="0" maxValue="0"/>
    </cacheField>
    <cacheField name="SEPTIEMBRE2" numFmtId="166">
      <sharedItems containsSemiMixedTypes="0" containsString="0" containsNumber="1" containsInteger="1" minValue="0" maxValue="0"/>
    </cacheField>
    <cacheField name="OCTUBRE2" numFmtId="166">
      <sharedItems containsSemiMixedTypes="0" containsString="0" containsNumber="1" containsInteger="1" minValue="0" maxValue="0"/>
    </cacheField>
    <cacheField name="NOVIEMBRE2" numFmtId="166">
      <sharedItems containsSemiMixedTypes="0" containsString="0" containsNumber="1" containsInteger="1" minValue="0" maxValue="0"/>
    </cacheField>
    <cacheField name="DICIEMBRE2" numFmtId="166">
      <sharedItems containsSemiMixedTypes="0" containsString="0" containsNumber="1" containsInteger="1" minValue="0" maxValue="0"/>
    </cacheField>
    <cacheField name="RECURSOS TRANSFERIDOS" numFmtId="166">
      <sharedItems containsSemiMixedTypes="0" containsString="0" containsNumber="1" minValue="0" maxValue="18076274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1"/>
    <x v="0"/>
    <x v="0"/>
    <x v="0"/>
    <n v="9363975.5999999996"/>
    <n v="4013132.4"/>
    <m/>
    <x v="0"/>
    <n v="0"/>
    <n v="0"/>
    <n v="9363976.0999999978"/>
    <n v="0"/>
    <n v="0"/>
    <n v="0"/>
    <n v="0"/>
    <n v="0"/>
    <n v="0"/>
    <n v="0"/>
    <n v="0"/>
    <n v="0"/>
    <n v="0"/>
    <n v="0"/>
    <n v="9363976.0999999978"/>
    <n v="0"/>
    <n v="0"/>
    <n v="0"/>
    <n v="0"/>
    <n v="0"/>
    <n v="0"/>
    <n v="0"/>
    <n v="0"/>
    <n v="0"/>
    <n v="9363976.0999999978"/>
  </r>
  <r>
    <m/>
    <x v="1"/>
    <x v="0"/>
    <x v="1"/>
    <n v="371738921.39999998"/>
    <n v="159316680.59999999"/>
    <m/>
    <x v="1"/>
    <n v="0"/>
    <n v="0"/>
    <n v="371728121.39999998"/>
    <n v="10799.999999999069"/>
    <n v="0"/>
    <n v="0"/>
    <n v="0"/>
    <n v="0"/>
    <n v="0"/>
    <n v="0"/>
    <n v="0"/>
    <n v="0"/>
    <n v="0"/>
    <n v="0"/>
    <n v="371728121.39999998"/>
    <n v="10800"/>
    <n v="0"/>
    <n v="0"/>
    <n v="0"/>
    <n v="0"/>
    <n v="0"/>
    <n v="0"/>
    <n v="0"/>
    <n v="0"/>
    <n v="371738921.39999998"/>
  </r>
  <r>
    <n v="2"/>
    <x v="2"/>
    <x v="0"/>
    <x v="2"/>
    <m/>
    <m/>
    <m/>
    <x v="2"/>
    <n v="0"/>
    <n v="0"/>
    <n v="21817029"/>
    <n v="152893581"/>
    <n v="270238744"/>
    <n v="0"/>
    <n v="0"/>
    <n v="0"/>
    <n v="0"/>
    <n v="0"/>
    <n v="0"/>
    <n v="0"/>
    <n v="0"/>
    <n v="0"/>
    <n v="21817029"/>
    <n v="152893581"/>
    <n v="270238744"/>
    <n v="0"/>
    <n v="0"/>
    <n v="0"/>
    <n v="0"/>
    <n v="0"/>
    <n v="0"/>
    <n v="0"/>
    <n v="444949354"/>
  </r>
  <r>
    <n v="3"/>
    <x v="3"/>
    <x v="0"/>
    <x v="3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4"/>
    <x v="4"/>
    <x v="0"/>
    <x v="4"/>
    <n v="1007349452.9"/>
    <n v="431721194.09999996"/>
    <m/>
    <x v="4"/>
    <n v="0"/>
    <n v="0"/>
    <n v="764021553.19043601"/>
    <n v="237706612.30000001"/>
    <n v="5714620.5095638959"/>
    <n v="0"/>
    <n v="0"/>
    <n v="0"/>
    <n v="0"/>
    <n v="0"/>
    <n v="0"/>
    <n v="0"/>
    <n v="0"/>
    <n v="0"/>
    <n v="764021553.19043601"/>
    <n v="237613279.70000002"/>
    <n v="5714620.5095638959"/>
    <n v="0"/>
    <n v="0"/>
    <n v="0"/>
    <n v="0"/>
    <n v="0"/>
    <n v="0"/>
    <n v="0"/>
    <n v="1007349453.4"/>
  </r>
  <r>
    <m/>
    <x v="5"/>
    <x v="0"/>
    <x v="5"/>
    <n v="58468410"/>
    <n v="25057890"/>
    <m/>
    <x v="5"/>
    <n v="0"/>
    <n v="0"/>
    <n v="46141042.30956389"/>
    <n v="11354583"/>
    <n v="1066117.690436108"/>
    <n v="0"/>
    <n v="0"/>
    <n v="0"/>
    <n v="0"/>
    <n v="0"/>
    <n v="0"/>
    <n v="0"/>
    <n v="0"/>
    <n v="0"/>
    <n v="46141042.30956389"/>
    <n v="11261250.4"/>
    <n v="1066117.690436108"/>
    <n v="0"/>
    <n v="0"/>
    <n v="0"/>
    <n v="0"/>
    <n v="0"/>
    <n v="0"/>
    <n v="0"/>
    <n v="58468410.399999999"/>
  </r>
  <r>
    <m/>
    <x v="6"/>
    <x v="0"/>
    <x v="6"/>
    <m/>
    <m/>
    <m/>
    <x v="6"/>
    <n v="0"/>
    <n v="0"/>
    <n v="0"/>
    <n v="22069973"/>
    <n v="0"/>
    <n v="0"/>
    <n v="0"/>
    <n v="0"/>
    <n v="0"/>
    <n v="0"/>
    <n v="0"/>
    <n v="0"/>
    <n v="0"/>
    <n v="0"/>
    <n v="0"/>
    <n v="21976640.399999999"/>
    <n v="0"/>
    <n v="0"/>
    <n v="0"/>
    <n v="0"/>
    <n v="0"/>
    <n v="0"/>
    <n v="0"/>
    <n v="0"/>
    <n v="21976640.399999999"/>
  </r>
  <r>
    <n v="5"/>
    <x v="7"/>
    <x v="0"/>
    <x v="7"/>
    <m/>
    <m/>
    <m/>
    <x v="7"/>
    <n v="0"/>
    <n v="0"/>
    <n v="346922795"/>
    <n v="21343777"/>
    <n v="0"/>
    <n v="0"/>
    <n v="0"/>
    <n v="0"/>
    <n v="0"/>
    <n v="0"/>
    <n v="0"/>
    <n v="0"/>
    <n v="0"/>
    <n v="0"/>
    <n v="346922795"/>
    <n v="21343777"/>
    <n v="0"/>
    <n v="0"/>
    <n v="0"/>
    <n v="0"/>
    <n v="0"/>
    <n v="0"/>
    <n v="0"/>
    <n v="0"/>
    <n v="368266572"/>
  </r>
  <r>
    <n v="6"/>
    <x v="8"/>
    <x v="0"/>
    <x v="3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7"/>
    <x v="9"/>
    <x v="0"/>
    <x v="8"/>
    <m/>
    <m/>
    <m/>
    <x v="8"/>
    <n v="0"/>
    <n v="0"/>
    <n v="243969710.80000001"/>
    <n v="104864197"/>
    <n v="119159866"/>
    <n v="0"/>
    <n v="0"/>
    <n v="0"/>
    <n v="0"/>
    <n v="0"/>
    <n v="0"/>
    <n v="0"/>
    <n v="0"/>
    <n v="0"/>
    <n v="243969711"/>
    <n v="104864197"/>
    <n v="119159866"/>
    <n v="0"/>
    <n v="0"/>
    <n v="0"/>
    <n v="0"/>
    <n v="0"/>
    <n v="0"/>
    <n v="0"/>
    <n v="467993774"/>
  </r>
  <r>
    <n v="8"/>
    <x v="10"/>
    <x v="0"/>
    <x v="9"/>
    <n v="203612217.19999999"/>
    <n v="87262378.799999997"/>
    <m/>
    <x v="9"/>
    <n v="0"/>
    <n v="0"/>
    <n v="0"/>
    <n v="0"/>
    <n v="203905476"/>
    <n v="0"/>
    <n v="0"/>
    <n v="0"/>
    <n v="0"/>
    <n v="0"/>
    <n v="0"/>
    <n v="0"/>
    <n v="0"/>
    <n v="0"/>
    <n v="0"/>
    <n v="0"/>
    <n v="203612217.19999999"/>
    <n v="0"/>
    <n v="0"/>
    <n v="0"/>
    <n v="0"/>
    <n v="0"/>
    <n v="0"/>
    <n v="0"/>
    <n v="203612217.19999999"/>
  </r>
  <r>
    <n v="9"/>
    <x v="11"/>
    <x v="0"/>
    <x v="10"/>
    <n v="663159673.39999998"/>
    <n v="284211288.59999996"/>
    <m/>
    <x v="10"/>
    <n v="0"/>
    <n v="0"/>
    <n v="443524335.19999999"/>
    <n v="113812681"/>
    <e v="#REF!"/>
    <n v="0"/>
    <n v="0"/>
    <n v="0"/>
    <n v="0"/>
    <n v="0"/>
    <n v="0"/>
    <n v="0"/>
    <n v="0"/>
    <n v="0"/>
    <n v="443524336"/>
    <n v="113812681"/>
    <n v="105822658"/>
    <n v="0"/>
    <n v="0"/>
    <n v="0"/>
    <n v="0"/>
    <n v="0"/>
    <n v="0"/>
    <n v="0"/>
    <n v="663159675"/>
  </r>
  <r>
    <n v="10"/>
    <x v="12"/>
    <x v="0"/>
    <x v="3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11"/>
    <x v="13"/>
    <x v="0"/>
    <x v="11"/>
    <n v="793556610"/>
    <n v="340095690"/>
    <m/>
    <x v="10"/>
    <n v="0"/>
    <n v="0"/>
    <n v="513320614"/>
    <n v="107997757"/>
    <e v="#REF!"/>
    <n v="0"/>
    <n v="0"/>
    <n v="0"/>
    <n v="0"/>
    <n v="0"/>
    <n v="0"/>
    <n v="0"/>
    <n v="0"/>
    <n v="0"/>
    <n v="513320614"/>
    <n v="107997757"/>
    <n v="172238025"/>
    <n v="0"/>
    <n v="0"/>
    <n v="0"/>
    <n v="0"/>
    <n v="0"/>
    <n v="0"/>
    <n v="0"/>
    <n v="793556396"/>
  </r>
  <r>
    <n v="12"/>
    <x v="14"/>
    <x v="0"/>
    <x v="12"/>
    <n v="39813085"/>
    <n v="39813085"/>
    <n v="39813085"/>
    <x v="11"/>
    <n v="0"/>
    <n v="0"/>
    <n v="119439280"/>
    <n v="39813060"/>
    <n v="39813085"/>
    <n v="0"/>
    <n v="0"/>
    <n v="0"/>
    <n v="0"/>
    <n v="0"/>
    <n v="0"/>
    <n v="0"/>
    <n v="0"/>
    <n v="0"/>
    <n v="119439255"/>
    <n v="39813060"/>
    <n v="39813085"/>
    <n v="0"/>
    <n v="0"/>
    <n v="0"/>
    <n v="0"/>
    <n v="0"/>
    <n v="0"/>
    <n v="0"/>
    <n v="199065400"/>
  </r>
  <r>
    <n v="13"/>
    <x v="15"/>
    <x v="0"/>
    <x v="13"/>
    <n v="275499029.39999998"/>
    <n v="118071012.59999999"/>
    <m/>
    <x v="12"/>
    <n v="0"/>
    <n v="0"/>
    <n v="232952421.19999996"/>
    <n v="42546606"/>
    <n v="0"/>
    <n v="0"/>
    <n v="0"/>
    <n v="0"/>
    <n v="0"/>
    <n v="0"/>
    <n v="0"/>
    <n v="0"/>
    <n v="0"/>
    <n v="0"/>
    <n v="232952424"/>
    <n v="42546606"/>
    <n v="0"/>
    <n v="0"/>
    <n v="0"/>
    <n v="0"/>
    <n v="0"/>
    <n v="0"/>
    <n v="0"/>
    <n v="0"/>
    <n v="275499030"/>
  </r>
  <r>
    <n v="14"/>
    <x v="16"/>
    <x v="0"/>
    <x v="14"/>
    <n v="65295894.299999997"/>
    <n v="27983954.699999999"/>
    <m/>
    <x v="13"/>
    <n v="0"/>
    <n v="0"/>
    <n v="65295894.299999997"/>
    <n v="0"/>
    <n v="0"/>
    <n v="0"/>
    <n v="0"/>
    <n v="0"/>
    <n v="0"/>
    <n v="0"/>
    <n v="0"/>
    <n v="0"/>
    <n v="0"/>
    <n v="0"/>
    <n v="65295894.299999997"/>
    <n v="0"/>
    <n v="0"/>
    <n v="0"/>
    <n v="0"/>
    <n v="0"/>
    <n v="0"/>
    <n v="0"/>
    <n v="0"/>
    <n v="0"/>
    <n v="65295894.299999997"/>
  </r>
  <r>
    <n v="15"/>
    <x v="17"/>
    <x v="0"/>
    <x v="15"/>
    <n v="689519512.5"/>
    <n v="295508362.5"/>
    <m/>
    <x v="14"/>
    <n v="0"/>
    <n v="0"/>
    <n v="689519512.5"/>
    <n v="0"/>
    <n v="0"/>
    <n v="0"/>
    <n v="0"/>
    <n v="0"/>
    <n v="0"/>
    <n v="0"/>
    <n v="0"/>
    <n v="0"/>
    <n v="0"/>
    <n v="0"/>
    <n v="689519512.5"/>
    <n v="0"/>
    <n v="0"/>
    <n v="0"/>
    <n v="0"/>
    <n v="0"/>
    <n v="0"/>
    <n v="0"/>
    <n v="0"/>
    <n v="0"/>
    <n v="689519512.5"/>
  </r>
  <r>
    <n v="0"/>
    <x v="18"/>
    <x v="0"/>
    <x v="16"/>
    <n v="164360086.79999998"/>
    <n v="70440037.200000003"/>
    <m/>
    <x v="15"/>
    <n v="0"/>
    <n v="0"/>
    <n v="164360086.80000001"/>
    <n v="0"/>
    <n v="0"/>
    <n v="0"/>
    <n v="0"/>
    <n v="0"/>
    <n v="0"/>
    <n v="0"/>
    <n v="0"/>
    <n v="0"/>
    <n v="0"/>
    <n v="0"/>
    <n v="164360086.80000001"/>
    <n v="0"/>
    <n v="0"/>
    <n v="0"/>
    <n v="0"/>
    <n v="0"/>
    <n v="0"/>
    <n v="0"/>
    <n v="0"/>
    <n v="0"/>
    <n v="164360086.80000001"/>
  </r>
  <r>
    <n v="0"/>
    <x v="19"/>
    <x v="0"/>
    <x v="17"/>
    <n v="78770948.899999991"/>
    <n v="33758978.100000001"/>
    <m/>
    <x v="16"/>
    <n v="0"/>
    <n v="0"/>
    <n v="78770948.900000006"/>
    <n v="0"/>
    <n v="0"/>
    <n v="0"/>
    <n v="0"/>
    <n v="0"/>
    <n v="0"/>
    <n v="0"/>
    <n v="0"/>
    <n v="0"/>
    <n v="0"/>
    <n v="0"/>
    <n v="78770948.900000006"/>
    <n v="0"/>
    <n v="0"/>
    <n v="0"/>
    <n v="0"/>
    <n v="0"/>
    <n v="0"/>
    <n v="0"/>
    <n v="0"/>
    <n v="0"/>
    <n v="78770948.900000006"/>
  </r>
  <r>
    <n v="0"/>
    <x v="20"/>
    <x v="0"/>
    <x v="18"/>
    <m/>
    <m/>
    <m/>
    <x v="17"/>
    <n v="0"/>
    <n v="0"/>
    <n v="0"/>
    <n v="90037123"/>
    <n v="17865964"/>
    <n v="0"/>
    <n v="0"/>
    <n v="0"/>
    <n v="0"/>
    <n v="0"/>
    <n v="0"/>
    <n v="0"/>
    <n v="0"/>
    <n v="0"/>
    <n v="0"/>
    <n v="90037123"/>
    <n v="17865964"/>
    <n v="0"/>
    <n v="0"/>
    <n v="0"/>
    <n v="0"/>
    <n v="0"/>
    <n v="0"/>
    <n v="0"/>
    <n v="107903087"/>
  </r>
  <r>
    <n v="0"/>
    <x v="21"/>
    <x v="0"/>
    <x v="19"/>
    <m/>
    <m/>
    <m/>
    <x v="18"/>
    <n v="0"/>
    <n v="0"/>
    <n v="0"/>
    <n v="0"/>
    <n v="85015073"/>
    <n v="0"/>
    <n v="0"/>
    <n v="0"/>
    <n v="0"/>
    <n v="0"/>
    <n v="0"/>
    <n v="0"/>
    <n v="0"/>
    <n v="0"/>
    <n v="0"/>
    <n v="0"/>
    <n v="101707010"/>
    <n v="0"/>
    <n v="0"/>
    <n v="0"/>
    <n v="0"/>
    <n v="0"/>
    <n v="0"/>
    <n v="0"/>
    <n v="101707010"/>
  </r>
  <r>
    <n v="0"/>
    <x v="22"/>
    <x v="0"/>
    <x v="20"/>
    <m/>
    <m/>
    <m/>
    <x v="19"/>
    <n v="0"/>
    <n v="0"/>
    <n v="56389900"/>
    <n v="0"/>
    <n v="0"/>
    <n v="0"/>
    <n v="0"/>
    <n v="0"/>
    <n v="0"/>
    <n v="0"/>
    <n v="0"/>
    <n v="0"/>
    <n v="0"/>
    <n v="0"/>
    <n v="56389900"/>
    <n v="0"/>
    <n v="0"/>
    <n v="0"/>
    <n v="0"/>
    <n v="0"/>
    <n v="0"/>
    <n v="0"/>
    <n v="0"/>
    <n v="0"/>
    <n v="56389900"/>
  </r>
  <r>
    <n v="0"/>
    <x v="23"/>
    <x v="0"/>
    <x v="21"/>
    <m/>
    <m/>
    <m/>
    <x v="20"/>
    <n v="0"/>
    <n v="0"/>
    <n v="77532497"/>
    <n v="156987148"/>
    <n v="7261771"/>
    <n v="0"/>
    <n v="0"/>
    <n v="0"/>
    <n v="0"/>
    <n v="0"/>
    <n v="0"/>
    <n v="0"/>
    <n v="0"/>
    <n v="0"/>
    <n v="77532497"/>
    <n v="156987148"/>
    <n v="7261771"/>
    <n v="0"/>
    <n v="0"/>
    <n v="0"/>
    <n v="0"/>
    <n v="0"/>
    <n v="0"/>
    <n v="0"/>
    <n v="241781416"/>
  </r>
  <r>
    <n v="0"/>
    <x v="24"/>
    <x v="0"/>
    <x v="22"/>
    <n v="108682357.69999999"/>
    <n v="46578153.299999997"/>
    <m/>
    <x v="21"/>
    <n v="0"/>
    <n v="0"/>
    <n v="33953823"/>
    <n v="58805473"/>
    <n v="15674429"/>
    <n v="0"/>
    <n v="0"/>
    <n v="0"/>
    <n v="0"/>
    <n v="0"/>
    <n v="0"/>
    <n v="0"/>
    <n v="0"/>
    <n v="0"/>
    <n v="33953823"/>
    <n v="58805473"/>
    <n v="15674429"/>
    <n v="0"/>
    <n v="0"/>
    <n v="0"/>
    <n v="0"/>
    <n v="0"/>
    <n v="0"/>
    <n v="0"/>
    <n v="108433725"/>
  </r>
  <r>
    <n v="0"/>
    <x v="25"/>
    <x v="0"/>
    <x v="23"/>
    <m/>
    <m/>
    <m/>
    <x v="22"/>
    <n v="0"/>
    <n v="0"/>
    <n v="182941479"/>
    <n v="60980493"/>
    <n v="60980493"/>
    <n v="0"/>
    <n v="0"/>
    <n v="0"/>
    <n v="0"/>
    <n v="0"/>
    <n v="0"/>
    <n v="0"/>
    <n v="0"/>
    <n v="0"/>
    <n v="178441479"/>
    <n v="60980493"/>
    <n v="60980493"/>
    <n v="0"/>
    <n v="0"/>
    <n v="0"/>
    <n v="0"/>
    <n v="0"/>
    <n v="0"/>
    <n v="0"/>
    <n v="300402465"/>
  </r>
  <r>
    <n v="0"/>
    <x v="26"/>
    <x v="0"/>
    <x v="24"/>
    <m/>
    <m/>
    <m/>
    <x v="23"/>
    <n v="0"/>
    <n v="0"/>
    <n v="415652793"/>
    <n v="138550931"/>
    <n v="138550931"/>
    <n v="0"/>
    <n v="0"/>
    <n v="0"/>
    <n v="0"/>
    <n v="0"/>
    <n v="0"/>
    <n v="0"/>
    <n v="0"/>
    <n v="0"/>
    <n v="415652793"/>
    <n v="138550931"/>
    <n v="138550931"/>
    <n v="0"/>
    <n v="0"/>
    <n v="0"/>
    <n v="0"/>
    <n v="0"/>
    <n v="0"/>
    <n v="0"/>
    <n v="692754655"/>
  </r>
  <r>
    <m/>
    <x v="27"/>
    <x v="0"/>
    <x v="25"/>
    <m/>
    <m/>
    <m/>
    <x v="24"/>
    <n v="0"/>
    <n v="0"/>
    <n v="7331619"/>
    <n v="2443873"/>
    <n v="2443873"/>
    <n v="0"/>
    <n v="0"/>
    <n v="0"/>
    <n v="0"/>
    <n v="0"/>
    <n v="0"/>
    <n v="0"/>
    <n v="0"/>
    <n v="0"/>
    <n v="7331619"/>
    <n v="2443873"/>
    <n v="2443873"/>
    <n v="0"/>
    <n v="0"/>
    <n v="0"/>
    <n v="0"/>
    <n v="0"/>
    <n v="0"/>
    <n v="0"/>
    <n v="12219365"/>
  </r>
  <r>
    <m/>
    <x v="28"/>
    <x v="0"/>
    <x v="26"/>
    <m/>
    <m/>
    <m/>
    <x v="25"/>
    <n v="0"/>
    <n v="0"/>
    <n v="159578370"/>
    <n v="0"/>
    <n v="0"/>
    <n v="0"/>
    <n v="0"/>
    <n v="0"/>
    <n v="0"/>
    <n v="0"/>
    <n v="0"/>
    <n v="0"/>
    <n v="0"/>
    <n v="0"/>
    <n v="159578370"/>
    <n v="0"/>
    <n v="0"/>
    <n v="0"/>
    <n v="0"/>
    <n v="0"/>
    <n v="0"/>
    <n v="0"/>
    <n v="0"/>
    <n v="0"/>
    <n v="159578370"/>
  </r>
  <r>
    <n v="0"/>
    <x v="29"/>
    <x v="0"/>
    <x v="27"/>
    <m/>
    <m/>
    <m/>
    <x v="26"/>
    <n v="0"/>
    <n v="0"/>
    <n v="421849967"/>
    <n v="967491295"/>
    <n v="91244544"/>
    <n v="0"/>
    <n v="0"/>
    <n v="0"/>
    <n v="0"/>
    <n v="0"/>
    <n v="0"/>
    <n v="0"/>
    <n v="0"/>
    <n v="0"/>
    <n v="421849967"/>
    <n v="967491295"/>
    <n v="91244544"/>
    <n v="0"/>
    <n v="0"/>
    <n v="0"/>
    <n v="0"/>
    <n v="0"/>
    <n v="0"/>
    <n v="0"/>
    <n v="1480585806"/>
  </r>
  <r>
    <n v="0"/>
    <x v="30"/>
    <x v="0"/>
    <x v="28"/>
    <m/>
    <m/>
    <m/>
    <x v="27"/>
    <n v="0"/>
    <n v="0"/>
    <n v="109673199"/>
    <n v="0"/>
    <n v="0"/>
    <n v="0"/>
    <n v="0"/>
    <n v="0"/>
    <n v="0"/>
    <n v="0"/>
    <n v="0"/>
    <n v="0"/>
    <n v="0"/>
    <n v="0"/>
    <n v="109673199"/>
    <n v="0"/>
    <n v="0"/>
    <n v="0"/>
    <n v="0"/>
    <n v="0"/>
    <n v="0"/>
    <n v="0"/>
    <n v="0"/>
    <n v="0"/>
    <n v="109673199"/>
  </r>
  <r>
    <n v="0"/>
    <x v="31"/>
    <x v="0"/>
    <x v="29"/>
    <n v="86893954"/>
    <n v="37240266"/>
    <m/>
    <x v="28"/>
    <n v="0"/>
    <n v="0"/>
    <n v="82071746.399999991"/>
    <n v="0"/>
    <n v="0"/>
    <n v="0"/>
    <n v="0"/>
    <n v="0"/>
    <n v="0"/>
    <n v="0"/>
    <n v="0"/>
    <n v="0"/>
    <n v="0"/>
    <n v="0"/>
    <n v="82071746"/>
    <n v="0"/>
    <n v="0"/>
    <n v="0"/>
    <n v="0"/>
    <n v="0"/>
    <n v="0"/>
    <n v="0"/>
    <n v="0"/>
    <n v="0"/>
    <n v="82071746"/>
  </r>
  <r>
    <m/>
    <x v="32"/>
    <x v="0"/>
    <x v="30"/>
    <m/>
    <m/>
    <m/>
    <x v="29"/>
    <n v="0"/>
    <n v="0"/>
    <n v="11310485"/>
    <n v="60391060"/>
    <n v="0"/>
    <n v="0"/>
    <n v="0"/>
    <n v="0"/>
    <n v="0"/>
    <n v="0"/>
    <n v="0"/>
    <n v="0"/>
    <n v="0"/>
    <n v="0"/>
    <n v="11310485"/>
    <n v="60328060"/>
    <n v="0"/>
    <n v="0"/>
    <n v="0"/>
    <n v="0"/>
    <n v="0"/>
    <n v="0"/>
    <n v="0"/>
    <n v="0"/>
    <n v="71638545"/>
  </r>
  <r>
    <m/>
    <x v="33"/>
    <x v="0"/>
    <x v="31"/>
    <n v="1334905839.3999999"/>
    <n v="572102502.60000002"/>
    <m/>
    <x v="30"/>
    <n v="0"/>
    <n v="0"/>
    <n v="176400318"/>
    <n v="841085033"/>
    <n v="790142070"/>
    <n v="0"/>
    <n v="0"/>
    <n v="0"/>
    <n v="0"/>
    <n v="0"/>
    <n v="0"/>
    <n v="0"/>
    <n v="0"/>
    <n v="0"/>
    <n v="176400318"/>
    <n v="841085033"/>
    <n v="790142070"/>
    <n v="0"/>
    <n v="0"/>
    <n v="0"/>
    <n v="0"/>
    <n v="0"/>
    <n v="0"/>
    <n v="0"/>
    <n v="1807627421"/>
  </r>
  <r>
    <m/>
    <x v="34"/>
    <x v="0"/>
    <x v="32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x v="35"/>
    <x v="0"/>
    <x v="33"/>
    <m/>
    <m/>
    <m/>
    <x v="31"/>
    <n v="0"/>
    <n v="0"/>
    <n v="0"/>
    <n v="0"/>
    <n v="3903653"/>
    <n v="0"/>
    <n v="0"/>
    <n v="0"/>
    <n v="0"/>
    <n v="0"/>
    <n v="0"/>
    <n v="0"/>
    <n v="0"/>
    <n v="0"/>
    <n v="0"/>
    <n v="0"/>
    <n v="3903653"/>
    <n v="0"/>
    <n v="0"/>
    <n v="0"/>
    <n v="0"/>
    <n v="0"/>
    <n v="0"/>
    <n v="0"/>
    <n v="3903653"/>
  </r>
  <r>
    <m/>
    <x v="36"/>
    <x v="0"/>
    <x v="34"/>
    <m/>
    <m/>
    <m/>
    <x v="32"/>
    <n v="0"/>
    <n v="0"/>
    <n v="0"/>
    <n v="0"/>
    <n v="309776496"/>
    <n v="0"/>
    <n v="0"/>
    <n v="0"/>
    <n v="0"/>
    <n v="0"/>
    <n v="0"/>
    <n v="0"/>
    <n v="0"/>
    <n v="0"/>
    <n v="0"/>
    <n v="0"/>
    <n v="309776496"/>
    <n v="0"/>
    <n v="0"/>
    <n v="0"/>
    <n v="0"/>
    <n v="0"/>
    <n v="0"/>
    <n v="0"/>
    <n v="309776496"/>
  </r>
  <r>
    <m/>
    <x v="37"/>
    <x v="0"/>
    <x v="35"/>
    <m/>
    <m/>
    <m/>
    <x v="33"/>
    <n v="0"/>
    <n v="0"/>
    <n v="0"/>
    <n v="2408507"/>
    <n v="19637443"/>
    <n v="0"/>
    <n v="0"/>
    <n v="0"/>
    <n v="0"/>
    <n v="0"/>
    <n v="0"/>
    <n v="0"/>
    <n v="0"/>
    <n v="0"/>
    <n v="0"/>
    <n v="2408507"/>
    <n v="19637443"/>
    <n v="0"/>
    <n v="0"/>
    <n v="0"/>
    <n v="0"/>
    <n v="0"/>
    <n v="0"/>
    <n v="0"/>
    <n v="22045950"/>
  </r>
  <r>
    <m/>
    <x v="38"/>
    <x v="0"/>
    <x v="36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x v="39"/>
    <x v="0"/>
    <x v="37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x v="40"/>
    <x v="0"/>
    <x v="38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x v="41"/>
    <x v="0"/>
    <x v="39"/>
    <m/>
    <m/>
    <m/>
    <x v="34"/>
    <n v="0"/>
    <n v="0"/>
    <n v="64761045"/>
    <n v="0"/>
    <n v="0"/>
    <n v="0"/>
    <n v="0"/>
    <n v="0"/>
    <n v="0"/>
    <n v="0"/>
    <n v="0"/>
    <n v="0"/>
    <n v="0"/>
    <n v="0"/>
    <n v="64761045"/>
    <n v="0"/>
    <n v="0"/>
    <n v="0"/>
    <n v="0"/>
    <n v="0"/>
    <n v="0"/>
    <n v="0"/>
    <n v="0"/>
    <n v="0"/>
    <n v="64761045"/>
  </r>
  <r>
    <m/>
    <x v="42"/>
    <x v="0"/>
    <x v="3"/>
    <m/>
    <m/>
    <m/>
    <x v="35"/>
    <n v="0"/>
    <n v="0"/>
    <n v="353698"/>
    <n v="0"/>
    <n v="0"/>
    <n v="0"/>
    <n v="0"/>
    <n v="0"/>
    <n v="0"/>
    <n v="0"/>
    <n v="0"/>
    <n v="0"/>
    <n v="0"/>
    <n v="0"/>
    <n v="353698"/>
    <n v="0"/>
    <n v="0"/>
    <n v="0"/>
    <n v="0"/>
    <n v="0"/>
    <n v="0"/>
    <n v="0"/>
    <n v="0"/>
    <n v="0"/>
    <n v="3536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400-000000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C91" firstHeaderRow="0" firstDataRow="1" firstDataCol="1"/>
  <pivotFields count="33">
    <pivotField showAll="0"/>
    <pivotField axis="axisRow" showAll="0">
      <items count="44">
        <item x="12"/>
        <item x="23"/>
        <item x="41"/>
        <item x="8"/>
        <item x="6"/>
        <item x="18"/>
        <item x="19"/>
        <item x="1"/>
        <item x="2"/>
        <item x="36"/>
        <item x="22"/>
        <item x="32"/>
        <item x="15"/>
        <item x="20"/>
        <item x="4"/>
        <item x="29"/>
        <item x="16"/>
        <item x="13"/>
        <item x="9"/>
        <item x="17"/>
        <item x="11"/>
        <item x="21"/>
        <item x="24"/>
        <item x="37"/>
        <item x="10"/>
        <item x="5"/>
        <item x="38"/>
        <item x="40"/>
        <item x="39"/>
        <item x="33"/>
        <item x="34"/>
        <item x="35"/>
        <item x="7"/>
        <item x="0"/>
        <item x="3"/>
        <item x="26"/>
        <item x="27"/>
        <item x="28"/>
        <item x="25"/>
        <item x="31"/>
        <item x="30"/>
        <item x="14"/>
        <item x="42"/>
        <item t="default"/>
      </items>
    </pivotField>
    <pivotField showAll="0">
      <items count="2">
        <item x="0"/>
        <item t="default"/>
      </items>
    </pivotField>
    <pivotField axis="axisRow" numFmtId="167" showAll="0">
      <items count="41">
        <item x="3"/>
        <item x="32"/>
        <item x="33"/>
        <item x="0"/>
        <item x="36"/>
        <item x="25"/>
        <item x="6"/>
        <item x="35"/>
        <item x="38"/>
        <item x="37"/>
        <item x="20"/>
        <item x="5"/>
        <item x="14"/>
        <item x="30"/>
        <item x="17"/>
        <item x="29"/>
        <item x="39"/>
        <item x="19"/>
        <item x="18"/>
        <item x="22"/>
        <item x="28"/>
        <item x="26"/>
        <item x="16"/>
        <item x="9"/>
        <item x="21"/>
        <item x="13"/>
        <item x="12"/>
        <item x="7"/>
        <item x="1"/>
        <item x="34"/>
        <item x="8"/>
        <item x="23"/>
        <item x="10"/>
        <item x="15"/>
        <item x="2"/>
        <item x="11"/>
        <item x="4"/>
        <item x="24"/>
        <item x="31"/>
        <item x="27"/>
        <item t="default"/>
      </items>
    </pivotField>
    <pivotField showAll="0"/>
    <pivotField showAll="0"/>
    <pivotField showAll="0"/>
    <pivotField dataField="1" showAll="0">
      <items count="37">
        <item x="3"/>
        <item x="35"/>
        <item x="31"/>
        <item x="0"/>
        <item x="24"/>
        <item x="33"/>
        <item x="6"/>
        <item x="19"/>
        <item x="5"/>
        <item x="34"/>
        <item x="13"/>
        <item x="29"/>
        <item x="16"/>
        <item x="28"/>
        <item x="18"/>
        <item x="17"/>
        <item x="21"/>
        <item x="27"/>
        <item x="25"/>
        <item x="15"/>
        <item x="11"/>
        <item x="9"/>
        <item x="20"/>
        <item x="12"/>
        <item x="22"/>
        <item x="32"/>
        <item x="7"/>
        <item x="1"/>
        <item x="2"/>
        <item x="8"/>
        <item x="14"/>
        <item x="23"/>
        <item x="4"/>
        <item x="26"/>
        <item x="30"/>
        <item x="10"/>
        <item t="default"/>
      </items>
    </pivotField>
    <pivotField numFmtId="166" showAll="0"/>
    <pivotField numFmtId="166" showAll="0"/>
    <pivotField numFmtId="166" showAll="0"/>
    <pivotField numFmtId="166" showAll="0"/>
    <pivotField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dataField="1" numFmtId="166" showAll="0"/>
  </pivotFields>
  <rowFields count="2">
    <field x="1"/>
    <field x="3"/>
  </rowFields>
  <rowItems count="87">
    <i>
      <x/>
    </i>
    <i r="1">
      <x/>
    </i>
    <i>
      <x v="1"/>
    </i>
    <i r="1">
      <x v="24"/>
    </i>
    <i>
      <x v="2"/>
    </i>
    <i r="1">
      <x v="16"/>
    </i>
    <i>
      <x v="3"/>
    </i>
    <i r="1">
      <x/>
    </i>
    <i>
      <x v="4"/>
    </i>
    <i r="1">
      <x v="6"/>
    </i>
    <i>
      <x v="5"/>
    </i>
    <i r="1">
      <x v="22"/>
    </i>
    <i>
      <x v="6"/>
    </i>
    <i r="1">
      <x v="14"/>
    </i>
    <i>
      <x v="7"/>
    </i>
    <i r="1">
      <x v="28"/>
    </i>
    <i>
      <x v="8"/>
    </i>
    <i r="1">
      <x v="34"/>
    </i>
    <i>
      <x v="9"/>
    </i>
    <i r="1">
      <x v="29"/>
    </i>
    <i>
      <x v="10"/>
    </i>
    <i r="1">
      <x v="10"/>
    </i>
    <i>
      <x v="11"/>
    </i>
    <i r="1">
      <x v="13"/>
    </i>
    <i>
      <x v="12"/>
    </i>
    <i r="1">
      <x v="25"/>
    </i>
    <i>
      <x v="13"/>
    </i>
    <i r="1">
      <x v="18"/>
    </i>
    <i>
      <x v="14"/>
    </i>
    <i r="1">
      <x v="36"/>
    </i>
    <i>
      <x v="15"/>
    </i>
    <i r="1">
      <x v="39"/>
    </i>
    <i>
      <x v="16"/>
    </i>
    <i r="1">
      <x v="12"/>
    </i>
    <i>
      <x v="17"/>
    </i>
    <i r="1">
      <x v="35"/>
    </i>
    <i>
      <x v="18"/>
    </i>
    <i r="1">
      <x v="30"/>
    </i>
    <i>
      <x v="19"/>
    </i>
    <i r="1">
      <x v="33"/>
    </i>
    <i>
      <x v="20"/>
    </i>
    <i r="1">
      <x v="32"/>
    </i>
    <i>
      <x v="21"/>
    </i>
    <i r="1">
      <x v="17"/>
    </i>
    <i>
      <x v="22"/>
    </i>
    <i r="1">
      <x v="19"/>
    </i>
    <i>
      <x v="23"/>
    </i>
    <i r="1">
      <x v="7"/>
    </i>
    <i>
      <x v="24"/>
    </i>
    <i r="1">
      <x v="23"/>
    </i>
    <i>
      <x v="25"/>
    </i>
    <i r="1">
      <x v="11"/>
    </i>
    <i>
      <x v="26"/>
    </i>
    <i r="1">
      <x v="4"/>
    </i>
    <i>
      <x v="27"/>
    </i>
    <i r="1">
      <x v="8"/>
    </i>
    <i>
      <x v="28"/>
    </i>
    <i r="1">
      <x v="9"/>
    </i>
    <i>
      <x v="29"/>
    </i>
    <i r="1">
      <x v="38"/>
    </i>
    <i>
      <x v="30"/>
    </i>
    <i r="1">
      <x v="1"/>
    </i>
    <i>
      <x v="31"/>
    </i>
    <i r="1">
      <x v="2"/>
    </i>
    <i>
      <x v="32"/>
    </i>
    <i r="1">
      <x v="27"/>
    </i>
    <i>
      <x v="33"/>
    </i>
    <i r="1">
      <x v="3"/>
    </i>
    <i>
      <x v="34"/>
    </i>
    <i r="1">
      <x/>
    </i>
    <i>
      <x v="35"/>
    </i>
    <i r="1">
      <x v="37"/>
    </i>
    <i>
      <x v="36"/>
    </i>
    <i r="1">
      <x v="5"/>
    </i>
    <i>
      <x v="37"/>
    </i>
    <i r="1">
      <x v="21"/>
    </i>
    <i>
      <x v="38"/>
    </i>
    <i r="1">
      <x v="31"/>
    </i>
    <i>
      <x v="39"/>
    </i>
    <i r="1">
      <x v="15"/>
    </i>
    <i>
      <x v="40"/>
    </i>
    <i r="1">
      <x v="20"/>
    </i>
    <i>
      <x v="41"/>
    </i>
    <i r="1">
      <x v="26"/>
    </i>
    <i>
      <x v="42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CURSOS RECIBIDOS" fld="7" baseField="1" baseItem="0" numFmtId="170"/>
    <dataField name="Suma de RECURSOS TRANSFERIDO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G44" totalsRowShown="0" headerRowCellStyle="Millares [0]" dataCellStyle="Millares [0]">
  <autoFilter ref="A1:AG44" xr:uid="{00000000-0009-0000-0100-000001000000}"/>
  <tableColumns count="33">
    <tableColumn id="1" xr3:uid="{00000000-0010-0000-0000-000001000000}" name="Nº" dataCellStyle="Millares [0]"/>
    <tableColumn id="2" xr3:uid="{00000000-0010-0000-0000-000002000000}" name="CONCEPTO" dataCellStyle="Millares [0]"/>
    <tableColumn id="3" xr3:uid="{00000000-0010-0000-0000-000003000000}" name="RES" dataCellStyle="Millares [0]"/>
    <tableColumn id="4" xr3:uid="{00000000-0010-0000-0000-000004000000}" name="RECURSOS ASINGADOS" dataCellStyle="Millares [0]"/>
    <tableColumn id="5" xr3:uid="{00000000-0010-0000-0000-000005000000}" name="1" dataCellStyle="Millares [0]"/>
    <tableColumn id="6" xr3:uid="{00000000-0010-0000-0000-000006000000}" name="2" dataCellStyle="Millares [0]"/>
    <tableColumn id="7" xr3:uid="{00000000-0010-0000-0000-000007000000}" name="3" dataCellStyle="Millares [0]"/>
    <tableColumn id="8" xr3:uid="{00000000-0010-0000-0000-000008000000}" name="RECURSOS RECIBIDOS" dataCellStyle="Millares [0]"/>
    <tableColumn id="9" xr3:uid="{00000000-0010-0000-0000-000009000000}" name="ENERO " dataCellStyle="Millares [0]"/>
    <tableColumn id="10" xr3:uid="{00000000-0010-0000-0000-00000A000000}" name="FEBRERO" dataCellStyle="Millares [0]"/>
    <tableColumn id="11" xr3:uid="{00000000-0010-0000-0000-00000B000000}" name="MARZO" dataCellStyle="Millares [0]"/>
    <tableColumn id="12" xr3:uid="{00000000-0010-0000-0000-00000C000000}" name="ABRIL" dataCellStyle="Millares [0]"/>
    <tableColumn id="13" xr3:uid="{00000000-0010-0000-0000-00000D000000}" name="MAYO" dataCellStyle="Millares [0]"/>
    <tableColumn id="14" xr3:uid="{00000000-0010-0000-0000-00000E000000}" name="JUNIO" dataCellStyle="Millares [0]"/>
    <tableColumn id="15" xr3:uid="{00000000-0010-0000-0000-00000F000000}" name="JULIO" dataCellStyle="Millares [0]"/>
    <tableColumn id="16" xr3:uid="{00000000-0010-0000-0000-000010000000}" name="AGOSTO" dataCellStyle="Millares [0]"/>
    <tableColumn id="17" xr3:uid="{00000000-0010-0000-0000-000011000000}" name="SEPTIEMBRE" dataCellStyle="Millares [0]"/>
    <tableColumn id="18" xr3:uid="{00000000-0010-0000-0000-000012000000}" name="OCTUBRE" dataCellStyle="Millares [0]"/>
    <tableColumn id="19" xr3:uid="{00000000-0010-0000-0000-000013000000}" name="NOVIEMBRE" dataCellStyle="Millares [0]"/>
    <tableColumn id="20" xr3:uid="{00000000-0010-0000-0000-000014000000}" name="DICIEMBRE" dataCellStyle="Millares [0]"/>
    <tableColumn id="21" xr3:uid="{00000000-0010-0000-0000-000015000000}" name="ENERO 2" dataCellStyle="Millares [0]"/>
    <tableColumn id="22" xr3:uid="{00000000-0010-0000-0000-000016000000}" name="FEBRERO2" dataCellStyle="Millares [0]"/>
    <tableColumn id="23" xr3:uid="{00000000-0010-0000-0000-000017000000}" name="MARZO2" dataCellStyle="Millares [0]"/>
    <tableColumn id="24" xr3:uid="{00000000-0010-0000-0000-000018000000}" name="ABRIL2" dataCellStyle="Millares [0]"/>
    <tableColumn id="25" xr3:uid="{00000000-0010-0000-0000-000019000000}" name="MAYO2" dataCellStyle="Millares [0]"/>
    <tableColumn id="26" xr3:uid="{00000000-0010-0000-0000-00001A000000}" name="JUNIO2" dataCellStyle="Millares [0]"/>
    <tableColumn id="27" xr3:uid="{00000000-0010-0000-0000-00001B000000}" name="JULIO2" dataCellStyle="Millares [0]"/>
    <tableColumn id="28" xr3:uid="{00000000-0010-0000-0000-00001C000000}" name="AGOSTO2" dataCellStyle="Millares [0]"/>
    <tableColumn id="29" xr3:uid="{00000000-0010-0000-0000-00001D000000}" name="SEPTIEMBRE2" dataCellStyle="Millares [0]"/>
    <tableColumn id="30" xr3:uid="{00000000-0010-0000-0000-00001E000000}" name="OCTUBRE2" dataCellStyle="Millares [0]"/>
    <tableColumn id="31" xr3:uid="{00000000-0010-0000-0000-00001F000000}" name="NOVIEMBRE2" dataCellStyle="Millares [0]"/>
    <tableColumn id="32" xr3:uid="{00000000-0010-0000-0000-000020000000}" name="DICIEMBRE2" dataCellStyle="Millares [0]"/>
    <tableColumn id="33" xr3:uid="{00000000-0010-0000-0000-000021000000}" name="RECURSOS TRANSFERIDOS" dataCellStyle="Millares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ivotTable" Target="../pivotTables/pivotTable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AX107"/>
  <sheetViews>
    <sheetView topLeftCell="A54" zoomScale="70" zoomScaleNormal="70" workbookViewId="0">
      <selection activeCell="A71" sqref="A71:XFD71"/>
    </sheetView>
  </sheetViews>
  <sheetFormatPr baseColWidth="10" defaultRowHeight="14.25"/>
  <cols>
    <col min="1" max="1" width="4.85546875" style="1" customWidth="1"/>
    <col min="2" max="2" width="46.7109375" style="1" bestFit="1" customWidth="1"/>
    <col min="3" max="3" width="25.85546875" style="1" customWidth="1"/>
    <col min="4" max="4" width="18.7109375" style="6" customWidth="1"/>
    <col min="5" max="5" width="33.5703125" style="4" customWidth="1"/>
    <col min="6" max="6" width="15.42578125" style="4" customWidth="1"/>
    <col min="7" max="7" width="14.7109375" style="4" customWidth="1"/>
    <col min="8" max="8" width="21.42578125" style="1" customWidth="1"/>
    <col min="9" max="9" width="15.5703125" style="1" hidden="1" customWidth="1"/>
    <col min="10" max="10" width="18.28515625" style="1" hidden="1" customWidth="1"/>
    <col min="11" max="11" width="19.42578125" style="1" hidden="1" customWidth="1"/>
    <col min="12" max="12" width="18.42578125" style="1" hidden="1" customWidth="1"/>
    <col min="13" max="15" width="18" style="1" hidden="1" customWidth="1"/>
    <col min="16" max="16" width="22" style="207" hidden="1" customWidth="1"/>
    <col min="17" max="17" width="21" style="1" hidden="1" customWidth="1"/>
    <col min="18" max="18" width="18.5703125" style="1" hidden="1" customWidth="1"/>
    <col min="19" max="19" width="25.42578125" style="1" customWidth="1"/>
    <col min="20" max="20" width="24.42578125" style="1" customWidth="1"/>
    <col min="21" max="21" width="19.42578125" style="1" hidden="1" customWidth="1"/>
    <col min="22" max="22" width="22.28515625" style="1" hidden="1" customWidth="1"/>
    <col min="23" max="23" width="19.42578125" style="1" hidden="1" customWidth="1"/>
    <col min="24" max="24" width="18.42578125" style="1" hidden="1" customWidth="1"/>
    <col min="25" max="25" width="18" style="1" hidden="1" customWidth="1"/>
    <col min="26" max="26" width="18.7109375" style="207" hidden="1" customWidth="1"/>
    <col min="27" max="27" width="18" style="1" hidden="1" customWidth="1"/>
    <col min="28" max="28" width="20.5703125" style="1" hidden="1" customWidth="1"/>
    <col min="29" max="29" width="26.85546875" style="1" hidden="1" customWidth="1"/>
    <col min="30" max="30" width="23.7109375" style="207" hidden="1" customWidth="1"/>
    <col min="31" max="31" width="25.42578125" style="1" customWidth="1"/>
    <col min="32" max="32" width="24.42578125" style="1" customWidth="1"/>
    <col min="33" max="33" width="30.42578125" style="1" customWidth="1"/>
    <col min="34" max="34" width="17" style="1" customWidth="1"/>
    <col min="35" max="36" width="11.42578125" style="1" customWidth="1"/>
    <col min="37" max="37" width="12.85546875" style="1" hidden="1" customWidth="1"/>
    <col min="38" max="38" width="14.140625" style="1" hidden="1" customWidth="1"/>
    <col min="39" max="41" width="12.85546875" style="1" hidden="1" customWidth="1"/>
    <col min="42" max="42" width="11.42578125" style="1" hidden="1" customWidth="1"/>
    <col min="43" max="43" width="13.28515625" style="1" hidden="1" customWidth="1"/>
    <col min="44" max="44" width="12.42578125" style="1" hidden="1" customWidth="1"/>
    <col min="45" max="45" width="13.5703125" style="1" hidden="1" customWidth="1"/>
    <col min="46" max="46" width="14.28515625" style="1" hidden="1" customWidth="1"/>
    <col min="47" max="47" width="17.7109375" style="1" bestFit="1" customWidth="1"/>
    <col min="48" max="48" width="16.28515625" style="1" bestFit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68</v>
      </c>
    </row>
    <row r="11" spans="1:34">
      <c r="B11" s="3" t="s">
        <v>69</v>
      </c>
    </row>
    <row r="12" spans="1:34">
      <c r="B12" s="3" t="s">
        <v>71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0" t="s">
        <v>38</v>
      </c>
      <c r="I14" s="711"/>
      <c r="J14" s="711"/>
      <c r="K14" s="711"/>
      <c r="L14" s="711"/>
      <c r="M14" s="711"/>
      <c r="N14" s="747"/>
      <c r="O14" s="713"/>
      <c r="P14" s="713"/>
      <c r="Q14" s="713"/>
      <c r="R14" s="713"/>
      <c r="S14" s="713"/>
      <c r="T14" s="714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30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161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77" t="s">
        <v>13</v>
      </c>
      <c r="W15" s="77" t="s">
        <v>14</v>
      </c>
      <c r="X15" s="77" t="s">
        <v>15</v>
      </c>
      <c r="Y15" s="77" t="s">
        <v>16</v>
      </c>
      <c r="Z15" s="208" t="s">
        <v>17</v>
      </c>
      <c r="AA15" s="77" t="s">
        <v>18</v>
      </c>
      <c r="AB15" s="77" t="s">
        <v>19</v>
      </c>
      <c r="AC15" s="77" t="s">
        <v>20</v>
      </c>
      <c r="AD15" s="208" t="s">
        <v>21</v>
      </c>
      <c r="AE15" s="77" t="s">
        <v>22</v>
      </c>
      <c r="AF15" s="335" t="s">
        <v>23</v>
      </c>
      <c r="AG15" s="79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36" t="s">
        <v>29</v>
      </c>
      <c r="D16" s="21">
        <f>61525788*12</f>
        <v>738309456</v>
      </c>
      <c r="E16" s="22"/>
      <c r="F16" s="23"/>
      <c r="G16" s="24"/>
      <c r="H16" s="318">
        <f>SUM(I16:T16)</f>
        <v>738309456</v>
      </c>
      <c r="I16" s="153">
        <v>61525788</v>
      </c>
      <c r="J16" s="65">
        <v>61525788</v>
      </c>
      <c r="K16" s="33">
        <v>61525788</v>
      </c>
      <c r="L16" s="65">
        <v>61525788</v>
      </c>
      <c r="M16" s="65">
        <v>61525788</v>
      </c>
      <c r="N16" s="33">
        <v>61525788</v>
      </c>
      <c r="O16" s="33">
        <v>61525788</v>
      </c>
      <c r="P16" s="65">
        <v>61525788</v>
      </c>
      <c r="Q16" s="33">
        <v>61525788</v>
      </c>
      <c r="R16" s="39">
        <v>61525788</v>
      </c>
      <c r="S16" s="33">
        <v>61525788</v>
      </c>
      <c r="T16" s="65">
        <v>61525788</v>
      </c>
      <c r="U16" s="38">
        <v>61525788</v>
      </c>
      <c r="V16" s="65">
        <v>61525788</v>
      </c>
      <c r="W16" s="65">
        <v>61525788</v>
      </c>
      <c r="X16" s="65">
        <v>61525788</v>
      </c>
      <c r="Y16" s="39">
        <v>61525788</v>
      </c>
      <c r="Z16" s="217">
        <v>61525788</v>
      </c>
      <c r="AA16" s="39">
        <v>61525788</v>
      </c>
      <c r="AB16" s="65">
        <v>61525788</v>
      </c>
      <c r="AC16" s="39">
        <v>61525788</v>
      </c>
      <c r="AD16" s="207">
        <v>61525788</v>
      </c>
      <c r="AE16" s="39">
        <v>61525788</v>
      </c>
      <c r="AF16" s="65">
        <v>61525788</v>
      </c>
      <c r="AG16" s="36">
        <f>SUM(U16:AF16)</f>
        <v>738309456</v>
      </c>
      <c r="AH16" s="123">
        <f t="shared" ref="AH16:AH30" si="0">+H16-AG16</f>
        <v>0</v>
      </c>
    </row>
    <row r="17" spans="1:48" ht="15">
      <c r="A17" s="18">
        <v>2</v>
      </c>
      <c r="B17" s="7" t="s">
        <v>27</v>
      </c>
      <c r="C17" s="137" t="s">
        <v>29</v>
      </c>
      <c r="D17" s="13">
        <f>2668500*12</f>
        <v>32022000</v>
      </c>
      <c r="E17" s="15"/>
      <c r="F17" s="14"/>
      <c r="G17" s="16"/>
      <c r="H17" s="319">
        <f t="shared" ref="H17:H29" si="1">SUM(I17:T17)</f>
        <v>32022000</v>
      </c>
      <c r="I17" s="154">
        <v>2668500</v>
      </c>
      <c r="J17" s="65">
        <v>2668500</v>
      </c>
      <c r="K17" s="9">
        <v>2668500</v>
      </c>
      <c r="L17" s="65">
        <v>2668500</v>
      </c>
      <c r="M17" s="65">
        <v>2668500</v>
      </c>
      <c r="N17" s="9">
        <v>2668500</v>
      </c>
      <c r="O17" s="9">
        <v>2668500</v>
      </c>
      <c r="P17" s="65">
        <v>2668500</v>
      </c>
      <c r="Q17" s="9">
        <v>2668500</v>
      </c>
      <c r="R17" s="9">
        <v>2668500</v>
      </c>
      <c r="S17" s="9">
        <v>2668500</v>
      </c>
      <c r="T17" s="65">
        <v>2668500</v>
      </c>
      <c r="U17" s="35">
        <v>2668500</v>
      </c>
      <c r="V17" s="65">
        <v>2668500</v>
      </c>
      <c r="W17" s="65">
        <v>2668500</v>
      </c>
      <c r="X17" s="65">
        <v>2668500</v>
      </c>
      <c r="Y17" s="9">
        <v>2668500</v>
      </c>
      <c r="Z17" s="217">
        <v>2668500</v>
      </c>
      <c r="AA17" s="9">
        <v>2668500</v>
      </c>
      <c r="AB17" s="65">
        <v>2668500</v>
      </c>
      <c r="AC17" s="9">
        <v>2668500</v>
      </c>
      <c r="AD17" s="207">
        <v>2668500</v>
      </c>
      <c r="AE17" s="9">
        <v>2668500</v>
      </c>
      <c r="AF17" s="65">
        <v>2668500</v>
      </c>
      <c r="AG17" s="37">
        <f t="shared" ref="AG17:AG28" si="2">SUM(U17:AF17)</f>
        <v>32022000</v>
      </c>
      <c r="AH17" s="124">
        <f t="shared" si="0"/>
        <v>0</v>
      </c>
    </row>
    <row r="18" spans="1:48" ht="15" hidden="1">
      <c r="A18" s="18">
        <v>3</v>
      </c>
      <c r="B18" s="7" t="s">
        <v>28</v>
      </c>
      <c r="C18" s="137" t="s">
        <v>29</v>
      </c>
      <c r="D18" s="13">
        <v>0</v>
      </c>
      <c r="E18" s="15"/>
      <c r="F18" s="14"/>
      <c r="G18" s="16"/>
      <c r="H18" s="319">
        <f t="shared" si="1"/>
        <v>0</v>
      </c>
      <c r="I18" s="154"/>
      <c r="J18" s="65">
        <v>0</v>
      </c>
      <c r="K18" s="9"/>
      <c r="L18" s="65">
        <v>0</v>
      </c>
      <c r="M18" s="9"/>
      <c r="N18" s="9"/>
      <c r="O18" s="9">
        <v>0</v>
      </c>
      <c r="P18" s="206"/>
      <c r="Q18" s="9"/>
      <c r="R18" s="9"/>
      <c r="S18" s="9"/>
      <c r="T18" s="13"/>
      <c r="U18" s="35"/>
      <c r="V18" s="65">
        <v>0</v>
      </c>
      <c r="W18" s="9"/>
      <c r="X18" s="9"/>
      <c r="Y18" s="9"/>
      <c r="Z18" s="206"/>
      <c r="AA18" s="9">
        <v>0</v>
      </c>
      <c r="AB18" s="9"/>
      <c r="AC18" s="9"/>
      <c r="AD18" s="206"/>
      <c r="AE18" s="9"/>
      <c r="AF18" s="13"/>
      <c r="AG18" s="37">
        <f t="shared" si="2"/>
        <v>0</v>
      </c>
      <c r="AH18" s="124">
        <f t="shared" si="0"/>
        <v>0</v>
      </c>
    </row>
    <row r="19" spans="1:48" ht="15" hidden="1">
      <c r="A19" s="18">
        <v>4</v>
      </c>
      <c r="B19" s="7" t="s">
        <v>30</v>
      </c>
      <c r="C19" s="137" t="s">
        <v>29</v>
      </c>
      <c r="D19" s="13">
        <v>0</v>
      </c>
      <c r="E19" s="15"/>
      <c r="F19" s="14"/>
      <c r="G19" s="16"/>
      <c r="H19" s="319">
        <f t="shared" si="1"/>
        <v>0</v>
      </c>
      <c r="I19" s="154"/>
      <c r="J19" s="65">
        <v>0</v>
      </c>
      <c r="K19" s="9"/>
      <c r="L19" s="65">
        <v>0</v>
      </c>
      <c r="M19" s="9"/>
      <c r="N19" s="9"/>
      <c r="O19" s="9">
        <v>0</v>
      </c>
      <c r="P19" s="206"/>
      <c r="Q19" s="9"/>
      <c r="R19" s="9"/>
      <c r="S19" s="9"/>
      <c r="T19" s="13"/>
      <c r="U19" s="35"/>
      <c r="V19" s="65">
        <v>0</v>
      </c>
      <c r="W19" s="9"/>
      <c r="X19" s="9"/>
      <c r="Y19" s="9"/>
      <c r="Z19" s="206"/>
      <c r="AA19" s="9">
        <v>0</v>
      </c>
      <c r="AB19" s="9"/>
      <c r="AC19" s="9"/>
      <c r="AD19" s="206"/>
      <c r="AE19" s="9"/>
      <c r="AF19" s="13"/>
      <c r="AG19" s="37">
        <f t="shared" si="2"/>
        <v>0</v>
      </c>
      <c r="AH19" s="124">
        <f t="shared" si="0"/>
        <v>0</v>
      </c>
    </row>
    <row r="20" spans="1:48" ht="29.25" hidden="1">
      <c r="A20" s="18">
        <v>5</v>
      </c>
      <c r="B20" s="10" t="s">
        <v>31</v>
      </c>
      <c r="C20" s="137" t="s">
        <v>29</v>
      </c>
      <c r="D20" s="13"/>
      <c r="E20" s="15"/>
      <c r="F20" s="14"/>
      <c r="G20" s="16"/>
      <c r="H20" s="319">
        <f t="shared" si="1"/>
        <v>0</v>
      </c>
      <c r="I20" s="154"/>
      <c r="J20" s="65">
        <v>0</v>
      </c>
      <c r="K20" s="9"/>
      <c r="L20" s="9"/>
      <c r="M20" s="9"/>
      <c r="N20" s="9"/>
      <c r="O20" s="9"/>
      <c r="P20" s="206"/>
      <c r="Q20" s="9"/>
      <c r="R20" s="9"/>
      <c r="S20" s="9"/>
      <c r="T20" s="13"/>
      <c r="U20" s="35"/>
      <c r="V20" s="65">
        <v>0</v>
      </c>
      <c r="W20" s="9"/>
      <c r="X20" s="9"/>
      <c r="Y20" s="9"/>
      <c r="Z20" s="206"/>
      <c r="AA20" s="9"/>
      <c r="AB20" s="9"/>
      <c r="AC20" s="9"/>
      <c r="AD20" s="206"/>
      <c r="AE20" s="9"/>
      <c r="AF20" s="13"/>
      <c r="AG20" s="37">
        <f t="shared" si="2"/>
        <v>0</v>
      </c>
      <c r="AH20" s="124">
        <f t="shared" si="0"/>
        <v>0</v>
      </c>
    </row>
    <row r="21" spans="1:48" ht="15">
      <c r="A21" s="18">
        <v>6</v>
      </c>
      <c r="B21" s="7" t="s">
        <v>32</v>
      </c>
      <c r="C21" s="137" t="s">
        <v>29</v>
      </c>
      <c r="D21" s="13">
        <f>261908*12</f>
        <v>3142896</v>
      </c>
      <c r="E21" s="15"/>
      <c r="F21" s="14"/>
      <c r="G21" s="16"/>
      <c r="H21" s="319">
        <f t="shared" si="1"/>
        <v>3235413.75</v>
      </c>
      <c r="I21" s="154">
        <v>261908</v>
      </c>
      <c r="J21" s="65">
        <v>276576</v>
      </c>
      <c r="K21" s="65">
        <v>269241.75000000006</v>
      </c>
      <c r="L21" s="65">
        <v>269242</v>
      </c>
      <c r="M21" s="65">
        <v>269242</v>
      </c>
      <c r="N21" s="9">
        <v>269242</v>
      </c>
      <c r="O21" s="9">
        <v>269242</v>
      </c>
      <c r="P21" s="206">
        <v>269242</v>
      </c>
      <c r="Q21" s="9">
        <v>269242</v>
      </c>
      <c r="R21" s="9">
        <v>269242</v>
      </c>
      <c r="S21" s="9">
        <v>269242</v>
      </c>
      <c r="T21" s="13">
        <v>273752</v>
      </c>
      <c r="U21" s="35">
        <v>261908</v>
      </c>
      <c r="V21" s="65">
        <v>276576</v>
      </c>
      <c r="W21" s="65">
        <v>269242</v>
      </c>
      <c r="X21" s="65">
        <v>269242</v>
      </c>
      <c r="Y21" s="9">
        <v>269242</v>
      </c>
      <c r="Z21" s="217">
        <v>269242</v>
      </c>
      <c r="AA21" s="9">
        <v>269242</v>
      </c>
      <c r="AB21" s="65">
        <v>269242</v>
      </c>
      <c r="AC21" s="9">
        <v>269242</v>
      </c>
      <c r="AD21" s="206">
        <v>269242</v>
      </c>
      <c r="AE21" s="9">
        <v>269242</v>
      </c>
      <c r="AF21" s="13">
        <v>273752</v>
      </c>
      <c r="AG21" s="37">
        <f t="shared" si="2"/>
        <v>3235414</v>
      </c>
      <c r="AH21" s="124">
        <f t="shared" si="0"/>
        <v>-0.25</v>
      </c>
    </row>
    <row r="22" spans="1:48" ht="15">
      <c r="A22" s="18">
        <v>7</v>
      </c>
      <c r="B22" s="7" t="s">
        <v>130</v>
      </c>
      <c r="C22" s="137" t="s">
        <v>29</v>
      </c>
      <c r="D22" s="13"/>
      <c r="E22" s="15"/>
      <c r="F22" s="14"/>
      <c r="G22" s="16"/>
      <c r="H22" s="319">
        <f t="shared" si="1"/>
        <v>35506356</v>
      </c>
      <c r="I22" s="154"/>
      <c r="J22" s="65"/>
      <c r="K22" s="65"/>
      <c r="L22" s="65">
        <v>8794274</v>
      </c>
      <c r="M22" s="1">
        <v>0</v>
      </c>
      <c r="N22" s="9">
        <v>8958904</v>
      </c>
      <c r="O22" s="9"/>
      <c r="P22" s="206"/>
      <c r="Q22" s="9">
        <v>8876589</v>
      </c>
      <c r="R22" s="9"/>
      <c r="S22" s="9"/>
      <c r="T22" s="13">
        <v>8876589</v>
      </c>
      <c r="U22" s="35"/>
      <c r="V22" s="65"/>
      <c r="W22" s="65"/>
      <c r="X22" s="65">
        <v>8794274</v>
      </c>
      <c r="Y22" s="9"/>
      <c r="Z22" s="217">
        <v>8958904</v>
      </c>
      <c r="AA22" s="9"/>
      <c r="AB22" s="65"/>
      <c r="AC22" s="9">
        <v>8876589</v>
      </c>
      <c r="AD22" s="206"/>
      <c r="AE22" s="9"/>
      <c r="AF22" s="13">
        <v>8876589</v>
      </c>
      <c r="AG22" s="37">
        <f>SUM(U22:AF22)</f>
        <v>35506356</v>
      </c>
      <c r="AH22" s="124">
        <f t="shared" si="0"/>
        <v>0</v>
      </c>
    </row>
    <row r="23" spans="1:48" ht="15">
      <c r="A23" s="18">
        <v>8</v>
      </c>
      <c r="B23" s="7" t="s">
        <v>131</v>
      </c>
      <c r="C23" s="137" t="s">
        <v>29</v>
      </c>
      <c r="D23" s="13"/>
      <c r="E23" s="15"/>
      <c r="F23" s="14"/>
      <c r="G23" s="16"/>
      <c r="H23" s="319">
        <f t="shared" si="1"/>
        <v>41021900</v>
      </c>
      <c r="I23" s="154"/>
      <c r="J23" s="65"/>
      <c r="K23" s="65"/>
      <c r="L23" s="65">
        <v>10160373</v>
      </c>
      <c r="M23" s="9">
        <v>0</v>
      </c>
      <c r="N23" s="9">
        <v>10350577</v>
      </c>
      <c r="O23" s="9"/>
      <c r="P23" s="206"/>
      <c r="Q23" s="9">
        <v>10255475</v>
      </c>
      <c r="R23" s="9"/>
      <c r="S23" s="9"/>
      <c r="T23" s="13">
        <v>10255475</v>
      </c>
      <c r="U23" s="35"/>
      <c r="V23" s="65"/>
      <c r="W23" s="65"/>
      <c r="X23" s="65">
        <v>10160373</v>
      </c>
      <c r="Y23" s="9"/>
      <c r="Z23" s="217">
        <v>10350577</v>
      </c>
      <c r="AA23" s="9"/>
      <c r="AB23" s="65"/>
      <c r="AC23" s="9">
        <v>10255475</v>
      </c>
      <c r="AD23" s="206"/>
      <c r="AE23" s="9"/>
      <c r="AF23" s="13">
        <v>10255475</v>
      </c>
      <c r="AG23" s="37">
        <f>SUM(U23:AF23)</f>
        <v>41021900</v>
      </c>
      <c r="AH23" s="124">
        <f t="shared" si="0"/>
        <v>0</v>
      </c>
    </row>
    <row r="24" spans="1:48" ht="15">
      <c r="A24" s="18">
        <v>9</v>
      </c>
      <c r="B24" s="7" t="s">
        <v>33</v>
      </c>
      <c r="C24" s="137" t="s">
        <v>29</v>
      </c>
      <c r="D24" s="13">
        <f>277118*12</f>
        <v>3325416</v>
      </c>
      <c r="E24" s="15"/>
      <c r="F24" s="14"/>
      <c r="G24" s="16"/>
      <c r="H24" s="319">
        <f t="shared" si="1"/>
        <v>3325416</v>
      </c>
      <c r="I24" s="154">
        <v>277118</v>
      </c>
      <c r="J24" s="65">
        <v>277118</v>
      </c>
      <c r="K24" s="65">
        <v>277118</v>
      </c>
      <c r="L24" s="65">
        <v>277118</v>
      </c>
      <c r="M24" s="65">
        <v>277118</v>
      </c>
      <c r="N24" s="9">
        <v>277118</v>
      </c>
      <c r="O24" s="9">
        <v>277118</v>
      </c>
      <c r="P24" s="206">
        <v>277118</v>
      </c>
      <c r="Q24" s="9">
        <v>277118</v>
      </c>
      <c r="R24" s="9">
        <v>277118</v>
      </c>
      <c r="S24" s="9">
        <v>277118</v>
      </c>
      <c r="T24" s="13">
        <v>277118</v>
      </c>
      <c r="U24" s="35">
        <v>277118</v>
      </c>
      <c r="V24" s="65">
        <v>277118</v>
      </c>
      <c r="W24" s="65">
        <v>277118</v>
      </c>
      <c r="X24" s="65">
        <v>277118</v>
      </c>
      <c r="Y24" s="9">
        <v>277118</v>
      </c>
      <c r="Z24" s="217">
        <v>277118</v>
      </c>
      <c r="AA24" s="9">
        <v>277118</v>
      </c>
      <c r="AB24" s="65">
        <v>277118</v>
      </c>
      <c r="AC24" s="9">
        <v>277118</v>
      </c>
      <c r="AD24" s="206">
        <v>277118</v>
      </c>
      <c r="AE24" s="9">
        <v>277118</v>
      </c>
      <c r="AF24" s="13">
        <v>277118</v>
      </c>
      <c r="AG24" s="37">
        <f t="shared" si="2"/>
        <v>3325416</v>
      </c>
      <c r="AH24" s="124">
        <f t="shared" si="0"/>
        <v>0</v>
      </c>
    </row>
    <row r="25" spans="1:48" ht="15">
      <c r="A25" s="18">
        <v>10</v>
      </c>
      <c r="B25" s="7" t="s">
        <v>35</v>
      </c>
      <c r="C25" s="137" t="s">
        <v>29</v>
      </c>
      <c r="D25" s="13"/>
      <c r="E25" s="15"/>
      <c r="F25" s="14"/>
      <c r="G25" s="16"/>
      <c r="H25" s="319">
        <f t="shared" si="1"/>
        <v>0</v>
      </c>
      <c r="I25" s="154"/>
      <c r="J25" s="65"/>
      <c r="K25" s="9"/>
      <c r="L25" s="65">
        <v>0</v>
      </c>
      <c r="M25" s="9"/>
      <c r="N25" s="9"/>
      <c r="O25" s="9">
        <v>0</v>
      </c>
      <c r="P25" s="206"/>
      <c r="Q25" s="9"/>
      <c r="R25" s="9"/>
      <c r="S25" s="9"/>
      <c r="T25" s="13"/>
      <c r="U25" s="35"/>
      <c r="V25" s="65"/>
      <c r="W25" s="65"/>
      <c r="X25" s="9"/>
      <c r="Y25" s="9"/>
      <c r="Z25" s="206"/>
      <c r="AA25" s="9"/>
      <c r="AB25" s="9"/>
      <c r="AC25" s="9"/>
      <c r="AD25" s="206"/>
      <c r="AE25" s="9"/>
      <c r="AF25" s="13"/>
      <c r="AG25" s="37">
        <f t="shared" si="2"/>
        <v>0</v>
      </c>
      <c r="AH25" s="124">
        <f t="shared" si="0"/>
        <v>0</v>
      </c>
    </row>
    <row r="26" spans="1:48" ht="15">
      <c r="A26" s="18">
        <v>11</v>
      </c>
      <c r="B26" s="52" t="s">
        <v>34</v>
      </c>
      <c r="C26" s="145" t="s">
        <v>29</v>
      </c>
      <c r="D26" s="13"/>
      <c r="E26" s="15"/>
      <c r="F26" s="14"/>
      <c r="G26" s="16"/>
      <c r="H26" s="319">
        <f t="shared" si="1"/>
        <v>0</v>
      </c>
      <c r="I26" s="154"/>
      <c r="J26" s="65"/>
      <c r="K26" s="9"/>
      <c r="L26" s="65">
        <v>0</v>
      </c>
      <c r="M26" s="9"/>
      <c r="N26" s="9"/>
      <c r="O26" s="9"/>
      <c r="P26" s="206"/>
      <c r="Q26" s="9"/>
      <c r="R26" s="9"/>
      <c r="S26" s="9"/>
      <c r="T26" s="13"/>
      <c r="U26" s="35"/>
      <c r="V26" s="65"/>
      <c r="W26" s="65"/>
      <c r="X26" s="9"/>
      <c r="Y26" s="9"/>
      <c r="Z26" s="206"/>
      <c r="AA26" s="9"/>
      <c r="AB26" s="9"/>
      <c r="AC26" s="9"/>
      <c r="AD26" s="206"/>
      <c r="AE26" s="9"/>
      <c r="AF26" s="13"/>
      <c r="AG26" s="37">
        <f t="shared" si="2"/>
        <v>0</v>
      </c>
      <c r="AH26" s="124">
        <f t="shared" si="0"/>
        <v>0</v>
      </c>
    </row>
    <row r="27" spans="1:48" ht="15">
      <c r="A27" s="18">
        <v>12</v>
      </c>
      <c r="B27" s="52" t="s">
        <v>202</v>
      </c>
      <c r="C27" s="145" t="s">
        <v>29</v>
      </c>
      <c r="D27" s="13"/>
      <c r="E27" s="15"/>
      <c r="F27" s="14"/>
      <c r="G27" s="16"/>
      <c r="H27" s="319">
        <f t="shared" si="1"/>
        <v>0</v>
      </c>
      <c r="I27" s="154"/>
      <c r="J27" s="65"/>
      <c r="K27" s="9"/>
      <c r="L27" s="65"/>
      <c r="M27" s="9"/>
      <c r="N27" s="9"/>
      <c r="O27" s="9"/>
      <c r="P27" s="206"/>
      <c r="Q27" s="9"/>
      <c r="R27" s="9"/>
      <c r="S27" s="9"/>
      <c r="T27" s="13"/>
      <c r="U27" s="35"/>
      <c r="V27" s="65"/>
      <c r="W27" s="65"/>
      <c r="X27" s="9"/>
      <c r="Y27" s="9"/>
      <c r="Z27" s="206"/>
      <c r="AA27" s="9"/>
      <c r="AB27" s="9"/>
      <c r="AC27" s="9"/>
      <c r="AD27" s="206"/>
      <c r="AE27" s="9"/>
      <c r="AF27" s="13"/>
      <c r="AG27" s="37">
        <f t="shared" si="2"/>
        <v>0</v>
      </c>
      <c r="AH27" s="124">
        <f t="shared" si="0"/>
        <v>0</v>
      </c>
    </row>
    <row r="28" spans="1:48" ht="15">
      <c r="A28" s="18">
        <v>13</v>
      </c>
      <c r="B28" s="52" t="s">
        <v>203</v>
      </c>
      <c r="C28" s="145" t="s">
        <v>29</v>
      </c>
      <c r="D28" s="13"/>
      <c r="E28" s="15"/>
      <c r="F28" s="14"/>
      <c r="G28" s="16"/>
      <c r="H28" s="319">
        <f t="shared" si="1"/>
        <v>0</v>
      </c>
      <c r="I28" s="154"/>
      <c r="J28" s="65"/>
      <c r="K28" s="9"/>
      <c r="L28" s="65"/>
      <c r="M28" s="9"/>
      <c r="N28" s="9"/>
      <c r="O28" s="9"/>
      <c r="P28" s="206"/>
      <c r="Q28" s="9"/>
      <c r="R28" s="9"/>
      <c r="S28" s="9"/>
      <c r="T28" s="13"/>
      <c r="U28" s="35"/>
      <c r="V28" s="65"/>
      <c r="W28" s="65"/>
      <c r="X28" s="9"/>
      <c r="Y28" s="9"/>
      <c r="Z28" s="206"/>
      <c r="AA28" s="9"/>
      <c r="AB28" s="9"/>
      <c r="AC28" s="9"/>
      <c r="AD28" s="206"/>
      <c r="AE28" s="9"/>
      <c r="AF28" s="13"/>
      <c r="AG28" s="37">
        <f t="shared" si="2"/>
        <v>0</v>
      </c>
      <c r="AH28" s="124">
        <f t="shared" si="0"/>
        <v>0</v>
      </c>
    </row>
    <row r="29" spans="1:48" ht="15.75" thickBot="1">
      <c r="A29" s="672"/>
      <c r="B29" s="52" t="s">
        <v>298</v>
      </c>
      <c r="C29" s="145" t="s">
        <v>29</v>
      </c>
      <c r="D29" s="13"/>
      <c r="E29" s="15"/>
      <c r="F29" s="14"/>
      <c r="G29" s="16"/>
      <c r="H29" s="319">
        <f t="shared" si="1"/>
        <v>12567421.199377233</v>
      </c>
      <c r="I29" s="154"/>
      <c r="J29" s="65"/>
      <c r="K29" s="9"/>
      <c r="L29" s="65"/>
      <c r="M29" s="9"/>
      <c r="N29" s="9"/>
      <c r="O29" s="9"/>
      <c r="P29" s="206"/>
      <c r="Q29" s="9"/>
      <c r="R29" s="9"/>
      <c r="S29" s="9">
        <v>12567421.199377233</v>
      </c>
      <c r="T29" s="13"/>
      <c r="U29" s="35"/>
      <c r="V29" s="65"/>
      <c r="W29" s="65"/>
      <c r="X29" s="9"/>
      <c r="Y29" s="9"/>
      <c r="Z29" s="206"/>
      <c r="AA29" s="9"/>
      <c r="AB29" s="9"/>
      <c r="AC29" s="9"/>
      <c r="AD29" s="206"/>
      <c r="AE29" s="9">
        <v>12567421.199377233</v>
      </c>
      <c r="AF29" s="13"/>
      <c r="AG29" s="37">
        <f>SUM(U29:AF29)</f>
        <v>12567421.199377233</v>
      </c>
      <c r="AH29" s="124">
        <f>+H29-AG29</f>
        <v>0</v>
      </c>
    </row>
    <row r="30" spans="1:48" ht="15.75" thickBot="1">
      <c r="A30" s="743" t="s">
        <v>36</v>
      </c>
      <c r="B30" s="744"/>
      <c r="C30" s="89"/>
      <c r="D30" s="90">
        <f>SUM(D16:D26)</f>
        <v>776799768</v>
      </c>
      <c r="E30" s="91"/>
      <c r="F30" s="92"/>
      <c r="G30" s="93"/>
      <c r="H30" s="320">
        <f>SUM(H16:H28)</f>
        <v>853420541.75</v>
      </c>
      <c r="I30" s="311">
        <f>SUM(I16:I28)</f>
        <v>64733314</v>
      </c>
      <c r="J30" s="311">
        <f t="shared" ref="J30:O30" si="3">SUM(J16:J28)</f>
        <v>64747982</v>
      </c>
      <c r="K30" s="311">
        <f t="shared" si="3"/>
        <v>64740647.75</v>
      </c>
      <c r="L30" s="311">
        <f t="shared" si="3"/>
        <v>83695295</v>
      </c>
      <c r="M30" s="311">
        <f t="shared" si="3"/>
        <v>64740648</v>
      </c>
      <c r="N30" s="311">
        <f t="shared" si="3"/>
        <v>84050129</v>
      </c>
      <c r="O30" s="311">
        <f t="shared" si="3"/>
        <v>64740648</v>
      </c>
      <c r="P30" s="363">
        <f t="shared" ref="P30:AF30" si="4">SUM(P16:P28)</f>
        <v>64740648</v>
      </c>
      <c r="Q30" s="311">
        <f t="shared" si="4"/>
        <v>83872712</v>
      </c>
      <c r="R30" s="311">
        <f t="shared" si="4"/>
        <v>64740648</v>
      </c>
      <c r="S30" s="311">
        <f t="shared" si="4"/>
        <v>64740648</v>
      </c>
      <c r="T30" s="311">
        <f t="shared" si="4"/>
        <v>83877222</v>
      </c>
      <c r="U30" s="111">
        <f t="shared" si="4"/>
        <v>64733314</v>
      </c>
      <c r="V30" s="111">
        <f t="shared" si="4"/>
        <v>64747982</v>
      </c>
      <c r="W30" s="111">
        <f t="shared" si="4"/>
        <v>64740648</v>
      </c>
      <c r="X30" s="111">
        <f t="shared" si="4"/>
        <v>83695295</v>
      </c>
      <c r="Y30" s="111">
        <f t="shared" si="4"/>
        <v>64740648</v>
      </c>
      <c r="Z30" s="111">
        <f t="shared" si="4"/>
        <v>84050129</v>
      </c>
      <c r="AA30" s="111">
        <f t="shared" si="4"/>
        <v>64740648</v>
      </c>
      <c r="AB30" s="111">
        <f t="shared" si="4"/>
        <v>64740648</v>
      </c>
      <c r="AC30" s="111">
        <f t="shared" si="4"/>
        <v>83872712</v>
      </c>
      <c r="AD30" s="211">
        <f t="shared" si="4"/>
        <v>64740648</v>
      </c>
      <c r="AE30" s="111">
        <f t="shared" si="4"/>
        <v>64740648</v>
      </c>
      <c r="AF30" s="111">
        <f t="shared" si="4"/>
        <v>83877222</v>
      </c>
      <c r="AG30" s="336">
        <f>SUM(U30:AF30)</f>
        <v>853420542</v>
      </c>
      <c r="AH30" s="119">
        <f t="shared" si="0"/>
        <v>-0.25</v>
      </c>
    </row>
    <row r="31" spans="1:48" ht="15" thickBot="1">
      <c r="D31" s="65">
        <v>6020734</v>
      </c>
      <c r="E31" s="5">
        <v>0.7</v>
      </c>
      <c r="F31" s="5">
        <v>0.3</v>
      </c>
      <c r="G31" s="5"/>
      <c r="N31" s="1">
        <v>6900000</v>
      </c>
      <c r="AS31" s="207">
        <v>221753</v>
      </c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0" t="s">
        <v>38</v>
      </c>
      <c r="I32" s="711"/>
      <c r="J32" s="711"/>
      <c r="K32" s="711"/>
      <c r="L32" s="711"/>
      <c r="M32" s="711"/>
      <c r="N32" s="712"/>
      <c r="O32" s="713"/>
      <c r="P32" s="713"/>
      <c r="Q32" s="713"/>
      <c r="R32" s="713"/>
      <c r="S32" s="713"/>
      <c r="T32" s="714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01" t="s">
        <v>177</v>
      </c>
      <c r="AL32" s="702"/>
      <c r="AM32" s="702"/>
      <c r="AN32" s="702"/>
      <c r="AO32" s="702"/>
      <c r="AP32" s="702"/>
      <c r="AQ32" s="702"/>
      <c r="AR32" s="702"/>
      <c r="AS32" s="702"/>
      <c r="AT32" s="702"/>
      <c r="AU32" s="702"/>
      <c r="AV32" s="703"/>
    </row>
    <row r="33" spans="1:50" ht="30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28" t="s">
        <v>12</v>
      </c>
      <c r="J33" s="161" t="s">
        <v>13</v>
      </c>
      <c r="K33" s="161" t="s">
        <v>14</v>
      </c>
      <c r="L33" s="161" t="s">
        <v>15</v>
      </c>
      <c r="M33" s="161" t="s">
        <v>16</v>
      </c>
      <c r="N33" s="161" t="s">
        <v>17</v>
      </c>
      <c r="O33" s="161" t="s">
        <v>18</v>
      </c>
      <c r="P33" s="288" t="s">
        <v>19</v>
      </c>
      <c r="Q33" s="161" t="s">
        <v>20</v>
      </c>
      <c r="R33" s="161" t="s">
        <v>21</v>
      </c>
      <c r="S33" s="161" t="s">
        <v>22</v>
      </c>
      <c r="T33" s="162" t="s">
        <v>23</v>
      </c>
      <c r="U33" s="165" t="s">
        <v>12</v>
      </c>
      <c r="V33" s="166" t="s">
        <v>13</v>
      </c>
      <c r="W33" s="166" t="s">
        <v>14</v>
      </c>
      <c r="X33" s="166" t="s">
        <v>15</v>
      </c>
      <c r="Y33" s="166" t="s">
        <v>16</v>
      </c>
      <c r="Z33" s="293" t="s">
        <v>17</v>
      </c>
      <c r="AA33" s="166" t="s">
        <v>18</v>
      </c>
      <c r="AB33" s="166" t="s">
        <v>19</v>
      </c>
      <c r="AC33" s="166" t="s">
        <v>20</v>
      </c>
      <c r="AD33" s="293" t="s">
        <v>21</v>
      </c>
      <c r="AE33" s="166" t="s">
        <v>22</v>
      </c>
      <c r="AF33" s="166" t="s">
        <v>23</v>
      </c>
      <c r="AG33" s="167" t="s">
        <v>24</v>
      </c>
      <c r="AH33" s="118" t="s">
        <v>37</v>
      </c>
      <c r="AK33" s="411" t="s">
        <v>12</v>
      </c>
      <c r="AL33" s="412" t="s">
        <v>13</v>
      </c>
      <c r="AM33" s="412" t="s">
        <v>14</v>
      </c>
      <c r="AN33" s="412" t="s">
        <v>15</v>
      </c>
      <c r="AO33" s="412" t="s">
        <v>16</v>
      </c>
      <c r="AP33" s="413" t="s">
        <v>17</v>
      </c>
      <c r="AQ33" s="412" t="s">
        <v>18</v>
      </c>
      <c r="AR33" s="412" t="s">
        <v>19</v>
      </c>
      <c r="AS33" s="412" t="s">
        <v>20</v>
      </c>
      <c r="AT33" s="412" t="s">
        <v>21</v>
      </c>
      <c r="AU33" s="412" t="s">
        <v>22</v>
      </c>
      <c r="AV33" s="432" t="s">
        <v>23</v>
      </c>
      <c r="AW33" s="444" t="s">
        <v>178</v>
      </c>
      <c r="AX33" s="167" t="s">
        <v>179</v>
      </c>
    </row>
    <row r="34" spans="1:50" ht="15.75" thickBot="1">
      <c r="A34" s="573">
        <v>1</v>
      </c>
      <c r="B34" s="608" t="s">
        <v>99</v>
      </c>
      <c r="C34" s="609">
        <v>1355</v>
      </c>
      <c r="D34" s="610">
        <v>177033</v>
      </c>
      <c r="E34" s="611">
        <f>+D34*$E$31</f>
        <v>123923.09999999999</v>
      </c>
      <c r="F34" s="612">
        <f>+D34*$F$31</f>
        <v>53109.9</v>
      </c>
      <c r="G34" s="613"/>
      <c r="H34" s="327">
        <f>SUM(I34:T34)</f>
        <v>177033</v>
      </c>
      <c r="I34" s="268"/>
      <c r="J34" s="152"/>
      <c r="K34" s="150">
        <v>123923.09999999999</v>
      </c>
      <c r="L34" s="39"/>
      <c r="M34" s="39"/>
      <c r="N34" s="39"/>
      <c r="O34" s="39"/>
      <c r="P34" s="209"/>
      <c r="Q34" s="39"/>
      <c r="R34" s="39">
        <v>53109.9</v>
      </c>
      <c r="S34" s="39"/>
      <c r="T34" s="55"/>
      <c r="U34" s="38">
        <v>0</v>
      </c>
      <c r="V34" s="163"/>
      <c r="W34" s="39">
        <v>123923.09999999999</v>
      </c>
      <c r="X34" s="39"/>
      <c r="Y34" s="39"/>
      <c r="Z34" s="209"/>
      <c r="AA34" s="39"/>
      <c r="AB34" s="39"/>
      <c r="AC34" s="39"/>
      <c r="AD34" s="209">
        <v>53109.9</v>
      </c>
      <c r="AE34" s="39"/>
      <c r="AF34" s="39"/>
      <c r="AG34" s="40">
        <f>SUM(U34:AF34)</f>
        <v>177033</v>
      </c>
      <c r="AH34" s="123">
        <f t="shared" ref="AH34:AH67" si="5">+H34-AG34</f>
        <v>0</v>
      </c>
      <c r="AK34" s="38"/>
      <c r="AL34" s="163"/>
      <c r="AM34" s="39"/>
      <c r="AN34" s="39"/>
      <c r="AO34" s="39"/>
      <c r="AP34" s="209"/>
      <c r="AQ34" s="39"/>
      <c r="AR34" s="39">
        <v>123923</v>
      </c>
      <c r="AS34" s="39"/>
      <c r="AT34" s="39"/>
      <c r="AU34" s="39"/>
      <c r="AV34" s="55"/>
      <c r="AW34" s="36">
        <f>SUM(AK34:AV34)</f>
        <v>123923</v>
      </c>
      <c r="AX34" s="123">
        <f>+AG34-AW34</f>
        <v>53110</v>
      </c>
    </row>
    <row r="35" spans="1:50" ht="15">
      <c r="A35" s="573">
        <v>2</v>
      </c>
      <c r="B35" s="608" t="s">
        <v>100</v>
      </c>
      <c r="C35" s="609">
        <v>1355</v>
      </c>
      <c r="D35" s="610">
        <v>8551620</v>
      </c>
      <c r="E35" s="583">
        <f>+D35*$E$31</f>
        <v>5986134</v>
      </c>
      <c r="F35" s="584">
        <f>+D35*$F$31</f>
        <v>2565486</v>
      </c>
      <c r="G35" s="614"/>
      <c r="H35" s="319">
        <f>SUM(I35:T35)</f>
        <v>8551620</v>
      </c>
      <c r="I35" s="154"/>
      <c r="J35" s="65"/>
      <c r="K35" s="140">
        <v>5986134</v>
      </c>
      <c r="L35" s="9"/>
      <c r="M35" s="9"/>
      <c r="N35" s="9"/>
      <c r="O35" s="9"/>
      <c r="P35" s="206"/>
      <c r="Q35" s="9"/>
      <c r="R35" s="9">
        <v>2565486</v>
      </c>
      <c r="S35" s="9"/>
      <c r="T35" s="13"/>
      <c r="U35" s="35"/>
      <c r="V35" s="164"/>
      <c r="W35" s="9">
        <v>5986134</v>
      </c>
      <c r="X35" s="9"/>
      <c r="Y35" s="9"/>
      <c r="Z35" s="206"/>
      <c r="AA35" s="9"/>
      <c r="AB35" s="9"/>
      <c r="AC35" s="9"/>
      <c r="AD35" s="206">
        <v>2565486</v>
      </c>
      <c r="AE35" s="9"/>
      <c r="AF35" s="9"/>
      <c r="AG35" s="12">
        <f>SUM(U35:AF35)</f>
        <v>8551620</v>
      </c>
      <c r="AH35" s="123">
        <f t="shared" si="5"/>
        <v>0</v>
      </c>
      <c r="AK35" s="35"/>
      <c r="AL35" s="164"/>
      <c r="AM35" s="9"/>
      <c r="AN35" s="9"/>
      <c r="AO35" s="9"/>
      <c r="AP35" s="206"/>
      <c r="AQ35" s="9"/>
      <c r="AR35" s="9">
        <v>740434</v>
      </c>
      <c r="AS35" s="9">
        <v>221753</v>
      </c>
      <c r="AT35" s="9"/>
      <c r="AU35" s="9"/>
      <c r="AV35" s="13"/>
      <c r="AW35" s="445">
        <f>SUM(AK35:AV35)</f>
        <v>962187</v>
      </c>
      <c r="AX35" s="431">
        <f t="shared" ref="AX35:AX77" si="6">+AG35-AW35</f>
        <v>7589433</v>
      </c>
    </row>
    <row r="36" spans="1:50" ht="15">
      <c r="A36" s="18">
        <v>3</v>
      </c>
      <c r="B36" s="7" t="s">
        <v>74</v>
      </c>
      <c r="C36" s="137"/>
      <c r="D36" s="13"/>
      <c r="E36" s="142"/>
      <c r="F36" s="143"/>
      <c r="G36" s="160"/>
      <c r="H36" s="319">
        <f t="shared" ref="H36:H82" si="7">SUM(I36:T36)</f>
        <v>0</v>
      </c>
      <c r="I36" s="154"/>
      <c r="J36" s="65"/>
      <c r="K36" s="9"/>
      <c r="L36" s="9"/>
      <c r="M36" s="9"/>
      <c r="N36" s="9"/>
      <c r="O36" s="9"/>
      <c r="P36" s="206"/>
      <c r="Q36" s="9"/>
      <c r="R36" s="9"/>
      <c r="S36" s="9"/>
      <c r="T36" s="13"/>
      <c r="U36" s="35"/>
      <c r="V36" s="164"/>
      <c r="W36" s="9"/>
      <c r="X36" s="9"/>
      <c r="Y36" s="9"/>
      <c r="Z36" s="206"/>
      <c r="AA36" s="9"/>
      <c r="AB36" s="9"/>
      <c r="AC36" s="9"/>
      <c r="AD36" s="206"/>
      <c r="AE36" s="9"/>
      <c r="AF36" s="9"/>
      <c r="AG36" s="12">
        <f>SUM(U36:AF36)</f>
        <v>0</v>
      </c>
      <c r="AH36" s="124">
        <f t="shared" si="5"/>
        <v>0</v>
      </c>
      <c r="AK36" s="35"/>
      <c r="AL36" s="164"/>
      <c r="AM36" s="9"/>
      <c r="AN36" s="9"/>
      <c r="AO36" s="9"/>
      <c r="AP36" s="206"/>
      <c r="AQ36" s="9"/>
      <c r="AR36" s="9"/>
      <c r="AS36" s="9"/>
      <c r="AT36" s="9"/>
      <c r="AU36" s="9"/>
      <c r="AV36" s="13"/>
      <c r="AW36" s="445">
        <f>SUM(AK36:AV36)</f>
        <v>0</v>
      </c>
      <c r="AX36" s="431">
        <f t="shared" si="6"/>
        <v>0</v>
      </c>
    </row>
    <row r="37" spans="1:50" ht="15">
      <c r="A37" s="18">
        <v>4</v>
      </c>
      <c r="B37" s="7" t="s">
        <v>75</v>
      </c>
      <c r="C37" s="137"/>
      <c r="D37" s="13"/>
      <c r="E37" s="142"/>
      <c r="F37" s="143"/>
      <c r="G37" s="160"/>
      <c r="H37" s="319">
        <f t="shared" si="7"/>
        <v>0</v>
      </c>
      <c r="I37" s="154"/>
      <c r="J37" s="65"/>
      <c r="K37" s="9"/>
      <c r="L37" s="9"/>
      <c r="M37" s="9"/>
      <c r="N37" s="9"/>
      <c r="O37" s="9"/>
      <c r="P37" s="206"/>
      <c r="Q37" s="9"/>
      <c r="R37" s="9"/>
      <c r="S37" s="9"/>
      <c r="T37" s="13"/>
      <c r="U37" s="35"/>
      <c r="V37" s="164"/>
      <c r="W37" s="9"/>
      <c r="X37" s="9"/>
      <c r="Y37" s="9"/>
      <c r="Z37" s="206"/>
      <c r="AA37" s="9"/>
      <c r="AB37" s="9"/>
      <c r="AC37" s="9"/>
      <c r="AD37" s="206"/>
      <c r="AE37" s="9"/>
      <c r="AF37" s="9"/>
      <c r="AG37" s="12">
        <f t="shared" ref="AG37:AG66" si="8">SUM(U37:AF37)</f>
        <v>0</v>
      </c>
      <c r="AH37" s="124">
        <f t="shared" si="5"/>
        <v>0</v>
      </c>
      <c r="AK37" s="35"/>
      <c r="AL37" s="164"/>
      <c r="AM37" s="9"/>
      <c r="AN37" s="9"/>
      <c r="AO37" s="9"/>
      <c r="AP37" s="206"/>
      <c r="AQ37" s="9"/>
      <c r="AR37" s="9"/>
      <c r="AS37" s="9"/>
      <c r="AT37" s="9"/>
      <c r="AU37" s="9"/>
      <c r="AV37" s="13"/>
      <c r="AW37" s="445">
        <f t="shared" ref="AW37:AW74" si="9">SUM(AK37:AV37)</f>
        <v>0</v>
      </c>
      <c r="AX37" s="431">
        <f t="shared" si="6"/>
        <v>0</v>
      </c>
    </row>
    <row r="38" spans="1:50" ht="15">
      <c r="A38" s="573">
        <v>5</v>
      </c>
      <c r="B38" s="575" t="s">
        <v>101</v>
      </c>
      <c r="C38" s="581">
        <v>2027</v>
      </c>
      <c r="D38" s="577">
        <v>8104419</v>
      </c>
      <c r="E38" s="578">
        <f>+D38*E31</f>
        <v>5673093.2999999998</v>
      </c>
      <c r="F38" s="579">
        <f>+D38*F31</f>
        <v>2431325.6999999997</v>
      </c>
      <c r="G38" s="580"/>
      <c r="H38" s="319">
        <f t="shared" si="7"/>
        <v>8104419</v>
      </c>
      <c r="I38" s="154"/>
      <c r="J38" s="65"/>
      <c r="K38" s="9"/>
      <c r="L38" s="9">
        <v>5673093.2999999998</v>
      </c>
      <c r="M38" s="9"/>
      <c r="N38" s="9"/>
      <c r="O38" s="9"/>
      <c r="P38" s="206"/>
      <c r="Q38" s="9"/>
      <c r="R38" s="9">
        <v>2431325.6999999997</v>
      </c>
      <c r="S38" s="9"/>
      <c r="T38" s="13"/>
      <c r="U38" s="35"/>
      <c r="V38" s="164"/>
      <c r="W38" s="9"/>
      <c r="X38" s="9">
        <v>5673093.2999999998</v>
      </c>
      <c r="Y38" s="9"/>
      <c r="Z38" s="206"/>
      <c r="AA38" s="9"/>
      <c r="AB38" s="9"/>
      <c r="AC38" s="9"/>
      <c r="AD38" s="206">
        <v>2431325.6999999997</v>
      </c>
      <c r="AE38" s="9"/>
      <c r="AF38" s="9"/>
      <c r="AG38" s="12">
        <f t="shared" si="8"/>
        <v>8104419</v>
      </c>
      <c r="AH38" s="124">
        <f t="shared" si="5"/>
        <v>0</v>
      </c>
      <c r="AK38" s="35"/>
      <c r="AL38" s="164"/>
      <c r="AM38" s="9"/>
      <c r="AN38" s="9"/>
      <c r="AO38" s="9"/>
      <c r="AP38" s="206"/>
      <c r="AQ38" s="9"/>
      <c r="AR38" s="9"/>
      <c r="AS38" s="9"/>
      <c r="AT38" s="9"/>
      <c r="AU38" s="9"/>
      <c r="AV38" s="13"/>
      <c r="AW38" s="445">
        <f t="shared" si="9"/>
        <v>0</v>
      </c>
      <c r="AX38" s="431">
        <f t="shared" si="6"/>
        <v>8104419</v>
      </c>
    </row>
    <row r="39" spans="1:50" ht="15">
      <c r="A39" s="573">
        <v>6</v>
      </c>
      <c r="B39" s="575" t="s">
        <v>102</v>
      </c>
      <c r="C39" s="581">
        <v>2027</v>
      </c>
      <c r="D39" s="577">
        <v>643500</v>
      </c>
      <c r="E39" s="578">
        <f>+D39*E31</f>
        <v>450450</v>
      </c>
      <c r="F39" s="579">
        <f>+D39*F31</f>
        <v>193050</v>
      </c>
      <c r="G39" s="580"/>
      <c r="H39" s="319">
        <f t="shared" si="7"/>
        <v>643500</v>
      </c>
      <c r="I39" s="154"/>
      <c r="J39" s="65"/>
      <c r="K39" s="9"/>
      <c r="L39" s="9">
        <v>450450</v>
      </c>
      <c r="M39" s="9"/>
      <c r="N39" s="9"/>
      <c r="O39" s="9"/>
      <c r="P39" s="206"/>
      <c r="Q39" s="9"/>
      <c r="R39" s="9">
        <v>193050</v>
      </c>
      <c r="S39" s="9"/>
      <c r="T39" s="13"/>
      <c r="U39" s="35"/>
      <c r="V39" s="164"/>
      <c r="W39" s="9"/>
      <c r="X39" s="9">
        <v>450450</v>
      </c>
      <c r="Y39" s="9"/>
      <c r="Z39" s="206"/>
      <c r="AA39" s="9"/>
      <c r="AB39" s="9"/>
      <c r="AC39" s="9"/>
      <c r="AD39" s="206">
        <v>193050</v>
      </c>
      <c r="AE39" s="9"/>
      <c r="AF39" s="9"/>
      <c r="AG39" s="12">
        <f t="shared" si="8"/>
        <v>643500</v>
      </c>
      <c r="AH39" s="124">
        <f t="shared" si="5"/>
        <v>0</v>
      </c>
      <c r="AK39" s="35"/>
      <c r="AL39" s="164"/>
      <c r="AM39" s="9"/>
      <c r="AN39" s="9"/>
      <c r="AO39" s="9"/>
      <c r="AP39" s="206"/>
      <c r="AQ39" s="9"/>
      <c r="AR39" s="9"/>
      <c r="AS39" s="9"/>
      <c r="AT39" s="9"/>
      <c r="AU39" s="9"/>
      <c r="AV39" s="13"/>
      <c r="AW39" s="445">
        <f t="shared" si="9"/>
        <v>0</v>
      </c>
      <c r="AX39" s="431">
        <f t="shared" si="6"/>
        <v>643500</v>
      </c>
    </row>
    <row r="40" spans="1:50" ht="15">
      <c r="A40" s="18">
        <v>7</v>
      </c>
      <c r="B40" s="7" t="s">
        <v>112</v>
      </c>
      <c r="C40" s="137"/>
      <c r="D40" s="13"/>
      <c r="E40" s="142"/>
      <c r="F40" s="143"/>
      <c r="G40" s="160"/>
      <c r="H40" s="319">
        <f t="shared" si="7"/>
        <v>0</v>
      </c>
      <c r="I40" s="154"/>
      <c r="J40" s="65"/>
      <c r="K40" s="9"/>
      <c r="L40" s="9"/>
      <c r="M40" s="9"/>
      <c r="N40" s="9"/>
      <c r="O40" s="9"/>
      <c r="P40" s="206"/>
      <c r="Q40" s="9"/>
      <c r="R40" s="9"/>
      <c r="S40" s="9"/>
      <c r="T40" s="13"/>
      <c r="U40" s="35"/>
      <c r="V40" s="164"/>
      <c r="W40" s="9"/>
      <c r="X40" s="9"/>
      <c r="Y40" s="9"/>
      <c r="Z40" s="206"/>
      <c r="AA40" s="9"/>
      <c r="AB40" s="9"/>
      <c r="AC40" s="9"/>
      <c r="AD40" s="206"/>
      <c r="AE40" s="9"/>
      <c r="AF40" s="9"/>
      <c r="AG40" s="12">
        <f t="shared" si="8"/>
        <v>0</v>
      </c>
      <c r="AH40" s="124">
        <f t="shared" si="5"/>
        <v>0</v>
      </c>
      <c r="AK40" s="35"/>
      <c r="AL40" s="164"/>
      <c r="AM40" s="9"/>
      <c r="AN40" s="9"/>
      <c r="AO40" s="9"/>
      <c r="AP40" s="206"/>
      <c r="AQ40" s="9"/>
      <c r="AR40" s="9"/>
      <c r="AS40" s="9"/>
      <c r="AT40" s="9"/>
      <c r="AU40" s="9"/>
      <c r="AV40" s="13"/>
      <c r="AW40" s="445">
        <f t="shared" si="9"/>
        <v>0</v>
      </c>
      <c r="AX40" s="431">
        <f t="shared" si="6"/>
        <v>0</v>
      </c>
    </row>
    <row r="41" spans="1:50" ht="15">
      <c r="A41" s="573">
        <v>8</v>
      </c>
      <c r="B41" s="575" t="s">
        <v>76</v>
      </c>
      <c r="C41" s="581">
        <v>1608</v>
      </c>
      <c r="D41" s="577">
        <v>30491110</v>
      </c>
      <c r="E41" s="578">
        <f>+D41*E31</f>
        <v>21343777</v>
      </c>
      <c r="F41" s="579">
        <f>+D41*F31</f>
        <v>9147333</v>
      </c>
      <c r="G41" s="580"/>
      <c r="H41" s="319">
        <f t="shared" si="7"/>
        <v>30491110</v>
      </c>
      <c r="I41" s="154"/>
      <c r="J41" s="65"/>
      <c r="K41" s="9">
        <v>21343777</v>
      </c>
      <c r="L41" s="9"/>
      <c r="M41" s="9"/>
      <c r="N41" s="9"/>
      <c r="O41" s="9"/>
      <c r="P41" s="206"/>
      <c r="Q41" s="9"/>
      <c r="R41" s="9">
        <v>9147333</v>
      </c>
      <c r="S41" s="9"/>
      <c r="T41" s="13"/>
      <c r="U41" s="35"/>
      <c r="V41" s="164"/>
      <c r="W41" s="9">
        <v>21343777</v>
      </c>
      <c r="X41" s="9"/>
      <c r="Y41" s="9"/>
      <c r="Z41" s="206"/>
      <c r="AA41" s="9"/>
      <c r="AB41" s="9"/>
      <c r="AC41" s="9"/>
      <c r="AD41" s="206">
        <v>9147333</v>
      </c>
      <c r="AE41" s="9"/>
      <c r="AF41" s="9"/>
      <c r="AG41" s="12">
        <f t="shared" si="8"/>
        <v>30491110</v>
      </c>
      <c r="AH41" s="124">
        <f t="shared" si="5"/>
        <v>0</v>
      </c>
      <c r="AK41" s="35"/>
      <c r="AL41" s="164"/>
      <c r="AM41" s="9"/>
      <c r="AN41" s="9"/>
      <c r="AO41" s="9">
        <v>11294850</v>
      </c>
      <c r="AP41" s="206"/>
      <c r="AQ41" s="9">
        <v>2258970</v>
      </c>
      <c r="AR41" s="9">
        <v>2258970</v>
      </c>
      <c r="AS41" s="9">
        <v>2258970</v>
      </c>
      <c r="AT41" s="9">
        <v>2258970</v>
      </c>
      <c r="AU41" s="9">
        <v>2258970</v>
      </c>
      <c r="AV41" s="13">
        <v>3317972</v>
      </c>
      <c r="AW41" s="445">
        <f t="shared" si="9"/>
        <v>25907672</v>
      </c>
      <c r="AX41" s="431">
        <f t="shared" si="6"/>
        <v>4583438</v>
      </c>
    </row>
    <row r="42" spans="1:50" ht="29.25">
      <c r="A42" s="18">
        <v>9</v>
      </c>
      <c r="B42" s="66" t="s">
        <v>77</v>
      </c>
      <c r="C42" s="137"/>
      <c r="D42" s="13"/>
      <c r="E42" s="142"/>
      <c r="F42" s="143"/>
      <c r="G42" s="160"/>
      <c r="H42" s="319">
        <f t="shared" si="7"/>
        <v>0</v>
      </c>
      <c r="I42" s="154"/>
      <c r="J42" s="65"/>
      <c r="K42" s="9"/>
      <c r="L42" s="9"/>
      <c r="M42" s="9"/>
      <c r="N42" s="9"/>
      <c r="O42" s="9"/>
      <c r="P42" s="206"/>
      <c r="Q42" s="9"/>
      <c r="R42" s="9"/>
      <c r="S42" s="9"/>
      <c r="T42" s="13"/>
      <c r="U42" s="35"/>
      <c r="V42" s="164"/>
      <c r="W42" s="9"/>
      <c r="X42" s="9"/>
      <c r="Y42" s="9"/>
      <c r="Z42" s="206"/>
      <c r="AA42" s="9"/>
      <c r="AB42" s="9"/>
      <c r="AC42" s="9"/>
      <c r="AD42" s="206"/>
      <c r="AE42" s="9"/>
      <c r="AF42" s="9"/>
      <c r="AG42" s="12">
        <f t="shared" si="8"/>
        <v>0</v>
      </c>
      <c r="AH42" s="124">
        <f t="shared" si="5"/>
        <v>0</v>
      </c>
      <c r="AK42" s="35"/>
      <c r="AL42" s="164"/>
      <c r="AM42" s="9"/>
      <c r="AN42" s="9"/>
      <c r="AO42" s="9"/>
      <c r="AP42" s="206"/>
      <c r="AQ42" s="9"/>
      <c r="AR42" s="9"/>
      <c r="AS42" s="9"/>
      <c r="AT42" s="9"/>
      <c r="AU42" s="9"/>
      <c r="AV42" s="13"/>
      <c r="AW42" s="445">
        <f t="shared" si="9"/>
        <v>0</v>
      </c>
      <c r="AX42" s="431">
        <f t="shared" si="6"/>
        <v>0</v>
      </c>
    </row>
    <row r="43" spans="1:50" ht="15">
      <c r="A43" s="18">
        <v>10</v>
      </c>
      <c r="B43" s="7" t="s">
        <v>104</v>
      </c>
      <c r="C43" s="137"/>
      <c r="D43" s="13"/>
      <c r="E43" s="142"/>
      <c r="F43" s="143"/>
      <c r="G43" s="160"/>
      <c r="H43" s="319">
        <f t="shared" si="7"/>
        <v>0</v>
      </c>
      <c r="I43" s="154"/>
      <c r="J43" s="65"/>
      <c r="K43" s="9"/>
      <c r="L43" s="9"/>
      <c r="M43" s="9"/>
      <c r="N43" s="9"/>
      <c r="O43" s="9"/>
      <c r="P43" s="206"/>
      <c r="Q43" s="9"/>
      <c r="R43" s="9"/>
      <c r="S43" s="9"/>
      <c r="T43" s="13"/>
      <c r="U43" s="35"/>
      <c r="V43" s="164"/>
      <c r="W43" s="9"/>
      <c r="X43" s="9"/>
      <c r="Y43" s="9"/>
      <c r="Z43" s="206"/>
      <c r="AA43" s="9"/>
      <c r="AB43" s="9"/>
      <c r="AC43" s="9"/>
      <c r="AD43" s="206"/>
      <c r="AE43" s="9"/>
      <c r="AF43" s="9"/>
      <c r="AG43" s="12">
        <f t="shared" si="8"/>
        <v>0</v>
      </c>
      <c r="AH43" s="124">
        <f t="shared" si="5"/>
        <v>0</v>
      </c>
      <c r="AK43" s="35"/>
      <c r="AL43" s="164"/>
      <c r="AM43" s="9"/>
      <c r="AN43" s="9"/>
      <c r="AO43" s="9"/>
      <c r="AP43" s="206"/>
      <c r="AQ43" s="9"/>
      <c r="AR43" s="9"/>
      <c r="AS43" s="9"/>
      <c r="AT43" s="9"/>
      <c r="AU43" s="9"/>
      <c r="AV43" s="13"/>
      <c r="AW43" s="445">
        <f t="shared" si="9"/>
        <v>0</v>
      </c>
      <c r="AX43" s="431">
        <f t="shared" si="6"/>
        <v>0</v>
      </c>
    </row>
    <row r="44" spans="1:50" ht="15">
      <c r="A44" s="18">
        <v>11</v>
      </c>
      <c r="B44" s="7" t="s">
        <v>78</v>
      </c>
      <c r="C44" s="137"/>
      <c r="D44" s="13"/>
      <c r="E44" s="142"/>
      <c r="F44" s="143"/>
      <c r="G44" s="160"/>
      <c r="H44" s="319">
        <f t="shared" si="7"/>
        <v>0</v>
      </c>
      <c r="I44" s="154"/>
      <c r="J44" s="9"/>
      <c r="K44" s="9"/>
      <c r="L44" s="9"/>
      <c r="M44" s="9"/>
      <c r="N44" s="9"/>
      <c r="O44" s="9"/>
      <c r="P44" s="206"/>
      <c r="Q44" s="9"/>
      <c r="R44" s="9"/>
      <c r="S44" s="9"/>
      <c r="T44" s="13"/>
      <c r="U44" s="35"/>
      <c r="V44" s="164"/>
      <c r="W44" s="9"/>
      <c r="X44" s="9"/>
      <c r="Y44" s="9"/>
      <c r="Z44" s="206"/>
      <c r="AA44" s="9"/>
      <c r="AB44" s="9"/>
      <c r="AC44" s="9"/>
      <c r="AD44" s="206"/>
      <c r="AE44" s="9"/>
      <c r="AF44" s="9"/>
      <c r="AG44" s="12">
        <f t="shared" si="8"/>
        <v>0</v>
      </c>
      <c r="AH44" s="124">
        <f t="shared" si="5"/>
        <v>0</v>
      </c>
      <c r="AK44" s="35"/>
      <c r="AL44" s="164"/>
      <c r="AM44" s="9"/>
      <c r="AN44" s="9"/>
      <c r="AO44" s="9"/>
      <c r="AP44" s="206"/>
      <c r="AQ44" s="9"/>
      <c r="AR44" s="9"/>
      <c r="AS44" s="9"/>
      <c r="AT44" s="9"/>
      <c r="AU44" s="9"/>
      <c r="AV44" s="13"/>
      <c r="AW44" s="445">
        <f t="shared" si="9"/>
        <v>0</v>
      </c>
      <c r="AX44" s="431">
        <f t="shared" si="6"/>
        <v>0</v>
      </c>
    </row>
    <row r="45" spans="1:50" s="190" customFormat="1" ht="28.5">
      <c r="A45" s="573">
        <v>12</v>
      </c>
      <c r="B45" s="618" t="s">
        <v>79</v>
      </c>
      <c r="C45" s="596" t="s">
        <v>253</v>
      </c>
      <c r="D45" s="597">
        <v>20430270</v>
      </c>
      <c r="E45" s="598">
        <f>+D45*E31</f>
        <v>14301189</v>
      </c>
      <c r="F45" s="599">
        <f>+D45*F31</f>
        <v>6129081</v>
      </c>
      <c r="G45" s="600"/>
      <c r="H45" s="349">
        <f t="shared" si="7"/>
        <v>20430270</v>
      </c>
      <c r="I45" s="188"/>
      <c r="J45" s="186"/>
      <c r="K45" s="186"/>
      <c r="L45" s="186">
        <v>14301189</v>
      </c>
      <c r="M45" s="186"/>
      <c r="N45" s="186"/>
      <c r="O45" s="9"/>
      <c r="P45" s="206"/>
      <c r="Q45" s="9"/>
      <c r="R45" s="9">
        <v>6129081</v>
      </c>
      <c r="S45" s="9"/>
      <c r="T45" s="13"/>
      <c r="U45" s="191"/>
      <c r="V45" s="351"/>
      <c r="W45" s="186"/>
      <c r="X45" s="186">
        <v>14301189</v>
      </c>
      <c r="Y45" s="392"/>
      <c r="Z45" s="231"/>
      <c r="AA45" s="186"/>
      <c r="AB45" s="186"/>
      <c r="AC45" s="186"/>
      <c r="AD45" s="231">
        <v>6129081</v>
      </c>
      <c r="AE45" s="186"/>
      <c r="AF45" s="186"/>
      <c r="AG45" s="187">
        <f t="shared" si="8"/>
        <v>20430270</v>
      </c>
      <c r="AH45" s="350">
        <f t="shared" si="5"/>
        <v>0</v>
      </c>
      <c r="AK45" s="191"/>
      <c r="AL45" s="351"/>
      <c r="AM45" s="186"/>
      <c r="AN45" s="186"/>
      <c r="AO45" s="392"/>
      <c r="AP45" s="231"/>
      <c r="AQ45" s="186"/>
      <c r="AR45" s="186"/>
      <c r="AS45" s="186"/>
      <c r="AT45" s="186"/>
      <c r="AU45" s="186"/>
      <c r="AV45" s="183"/>
      <c r="AW45" s="446">
        <f t="shared" si="9"/>
        <v>0</v>
      </c>
      <c r="AX45" s="431">
        <f t="shared" si="6"/>
        <v>20430270</v>
      </c>
    </row>
    <row r="46" spans="1:50" ht="15">
      <c r="A46" s="18">
        <v>13</v>
      </c>
      <c r="B46" s="7" t="s">
        <v>80</v>
      </c>
      <c r="C46" s="137"/>
      <c r="D46" s="13"/>
      <c r="E46" s="142"/>
      <c r="F46" s="143"/>
      <c r="G46" s="160"/>
      <c r="H46" s="319">
        <f t="shared" si="7"/>
        <v>0</v>
      </c>
      <c r="I46" s="154"/>
      <c r="J46" s="9"/>
      <c r="K46" s="9"/>
      <c r="L46" s="9"/>
      <c r="M46" s="9"/>
      <c r="N46" s="9"/>
      <c r="O46" s="9"/>
      <c r="P46" s="206"/>
      <c r="Q46" s="9"/>
      <c r="R46" s="9"/>
      <c r="S46" s="9"/>
      <c r="T46" s="13"/>
      <c r="U46" s="35">
        <v>0</v>
      </c>
      <c r="V46" s="9">
        <v>0</v>
      </c>
      <c r="W46" s="9">
        <v>0</v>
      </c>
      <c r="X46" s="9">
        <v>0</v>
      </c>
      <c r="Y46" s="194">
        <v>0</v>
      </c>
      <c r="Z46" s="206">
        <v>0</v>
      </c>
      <c r="AA46" s="9">
        <v>0</v>
      </c>
      <c r="AB46" s="9">
        <v>0</v>
      </c>
      <c r="AC46" s="9">
        <v>0</v>
      </c>
      <c r="AD46" s="206">
        <v>0</v>
      </c>
      <c r="AE46" s="9">
        <v>0</v>
      </c>
      <c r="AF46" s="9">
        <v>0</v>
      </c>
      <c r="AG46" s="12">
        <f t="shared" si="8"/>
        <v>0</v>
      </c>
      <c r="AH46" s="124">
        <f t="shared" si="5"/>
        <v>0</v>
      </c>
      <c r="AK46" s="35"/>
      <c r="AL46" s="9"/>
      <c r="AM46" s="9"/>
      <c r="AN46" s="9"/>
      <c r="AO46" s="194"/>
      <c r="AP46" s="206"/>
      <c r="AQ46" s="9"/>
      <c r="AR46" s="9"/>
      <c r="AS46" s="9"/>
      <c r="AT46" s="9"/>
      <c r="AU46" s="9"/>
      <c r="AV46" s="13"/>
      <c r="AW46" s="445">
        <f t="shared" si="9"/>
        <v>0</v>
      </c>
      <c r="AX46" s="431">
        <f t="shared" si="6"/>
        <v>0</v>
      </c>
    </row>
    <row r="47" spans="1:50" ht="15">
      <c r="A47" s="573">
        <v>14</v>
      </c>
      <c r="B47" s="575" t="s">
        <v>81</v>
      </c>
      <c r="C47" s="581">
        <v>2316</v>
      </c>
      <c r="D47" s="577">
        <v>20568990</v>
      </c>
      <c r="E47" s="578">
        <f>+D47*E31</f>
        <v>14398293</v>
      </c>
      <c r="F47" s="579">
        <f>+D47*F31</f>
        <v>6170697</v>
      </c>
      <c r="G47" s="580"/>
      <c r="H47" s="319">
        <f t="shared" si="7"/>
        <v>20568990</v>
      </c>
      <c r="I47" s="154"/>
      <c r="J47" s="9"/>
      <c r="K47" s="9"/>
      <c r="L47" s="9">
        <v>14398293</v>
      </c>
      <c r="M47" s="9"/>
      <c r="N47" s="9"/>
      <c r="O47" s="9"/>
      <c r="P47" s="206"/>
      <c r="Q47" s="9"/>
      <c r="R47" s="9">
        <v>6170697</v>
      </c>
      <c r="S47" s="9"/>
      <c r="T47" s="13"/>
      <c r="U47" s="35"/>
      <c r="V47" s="9"/>
      <c r="W47" s="9"/>
      <c r="X47" s="9">
        <v>14398293</v>
      </c>
      <c r="Y47" s="194"/>
      <c r="Z47" s="206"/>
      <c r="AA47" s="9"/>
      <c r="AB47" s="9"/>
      <c r="AC47" s="9"/>
      <c r="AD47" s="206">
        <v>6170697</v>
      </c>
      <c r="AE47" s="9"/>
      <c r="AF47" s="9"/>
      <c r="AG47" s="12">
        <f t="shared" si="8"/>
        <v>20568990</v>
      </c>
      <c r="AH47" s="124">
        <f t="shared" si="5"/>
        <v>0</v>
      </c>
      <c r="AK47" s="35"/>
      <c r="AL47" s="9"/>
      <c r="AM47" s="9"/>
      <c r="AN47" s="9"/>
      <c r="AO47" s="194"/>
      <c r="AP47" s="206"/>
      <c r="AQ47" s="9"/>
      <c r="AR47" s="9"/>
      <c r="AS47" s="9"/>
      <c r="AT47" s="9"/>
      <c r="AU47" s="9">
        <v>19958500</v>
      </c>
      <c r="AV47" s="13"/>
      <c r="AW47" s="445">
        <f t="shared" si="9"/>
        <v>19958500</v>
      </c>
      <c r="AX47" s="431">
        <f t="shared" si="6"/>
        <v>610490</v>
      </c>
    </row>
    <row r="48" spans="1:50" ht="15">
      <c r="A48" s="18">
        <v>15</v>
      </c>
      <c r="B48" s="7" t="s">
        <v>82</v>
      </c>
      <c r="C48" s="137"/>
      <c r="D48" s="13"/>
      <c r="E48" s="142"/>
      <c r="F48" s="143"/>
      <c r="G48" s="160"/>
      <c r="H48" s="319">
        <f t="shared" si="7"/>
        <v>0</v>
      </c>
      <c r="I48" s="154"/>
      <c r="J48" s="9"/>
      <c r="K48" s="9"/>
      <c r="L48" s="9"/>
      <c r="M48" s="9"/>
      <c r="N48" s="9"/>
      <c r="O48" s="9"/>
      <c r="P48" s="206"/>
      <c r="Q48" s="9"/>
      <c r="R48" s="9"/>
      <c r="S48" s="9"/>
      <c r="T48" s="13"/>
      <c r="U48" s="35"/>
      <c r="V48" s="9"/>
      <c r="W48" s="9"/>
      <c r="X48" s="9"/>
      <c r="Y48" s="194"/>
      <c r="Z48" s="206"/>
      <c r="AA48" s="9"/>
      <c r="AB48" s="9"/>
      <c r="AC48" s="9"/>
      <c r="AD48" s="206"/>
      <c r="AE48" s="9"/>
      <c r="AF48" s="9"/>
      <c r="AG48" s="12">
        <f t="shared" si="8"/>
        <v>0</v>
      </c>
      <c r="AH48" s="124">
        <f t="shared" si="5"/>
        <v>0</v>
      </c>
      <c r="AK48" s="35"/>
      <c r="AL48" s="9"/>
      <c r="AM48" s="9"/>
      <c r="AN48" s="9"/>
      <c r="AO48" s="194"/>
      <c r="AP48" s="206"/>
      <c r="AQ48" s="9"/>
      <c r="AR48" s="9"/>
      <c r="AS48" s="9"/>
      <c r="AT48" s="9"/>
      <c r="AU48" s="9"/>
      <c r="AV48" s="13"/>
      <c r="AW48" s="445">
        <f t="shared" si="9"/>
        <v>0</v>
      </c>
      <c r="AX48" s="431">
        <f t="shared" si="6"/>
        <v>0</v>
      </c>
    </row>
    <row r="49" spans="1:50" ht="15">
      <c r="A49" s="573">
        <v>16</v>
      </c>
      <c r="B49" s="575" t="s">
        <v>83</v>
      </c>
      <c r="C49" s="581">
        <v>1913</v>
      </c>
      <c r="D49" s="577">
        <v>16815568</v>
      </c>
      <c r="E49" s="578">
        <f>+D49*E31</f>
        <v>11770897.6</v>
      </c>
      <c r="F49" s="579">
        <f>+D49*F31</f>
        <v>5044670.3999999994</v>
      </c>
      <c r="G49" s="620"/>
      <c r="H49" s="319">
        <f t="shared" si="7"/>
        <v>16815567.600000001</v>
      </c>
      <c r="I49" s="154"/>
      <c r="J49" s="9"/>
      <c r="K49" s="173">
        <v>11770897.6</v>
      </c>
      <c r="L49" s="9"/>
      <c r="M49" s="9"/>
      <c r="N49" s="9"/>
      <c r="O49" s="9"/>
      <c r="P49" s="206"/>
      <c r="Q49" s="9"/>
      <c r="R49" s="9">
        <v>5044670</v>
      </c>
      <c r="S49" s="9"/>
      <c r="T49" s="13"/>
      <c r="U49" s="35"/>
      <c r="V49" s="9"/>
      <c r="W49" s="9">
        <v>11770898</v>
      </c>
      <c r="X49" s="9"/>
      <c r="Y49" s="194"/>
      <c r="Z49" s="206"/>
      <c r="AA49" s="9"/>
      <c r="AB49" s="9"/>
      <c r="AC49" s="9"/>
      <c r="AD49" s="206"/>
      <c r="AE49" s="9">
        <v>5044670</v>
      </c>
      <c r="AF49" s="9"/>
      <c r="AG49" s="12">
        <f t="shared" si="8"/>
        <v>16815568</v>
      </c>
      <c r="AH49" s="124">
        <f t="shared" si="5"/>
        <v>-0.39999999850988388</v>
      </c>
      <c r="AK49" s="35"/>
      <c r="AL49" s="9"/>
      <c r="AM49" s="9"/>
      <c r="AN49" s="9"/>
      <c r="AO49" s="194">
        <v>5500259</v>
      </c>
      <c r="AP49" s="206"/>
      <c r="AQ49" s="9">
        <v>2750128</v>
      </c>
      <c r="AR49" s="9">
        <v>1375064</v>
      </c>
      <c r="AS49" s="9">
        <v>1375064</v>
      </c>
      <c r="AT49" s="9">
        <v>1375064</v>
      </c>
      <c r="AU49" s="9">
        <v>1375064</v>
      </c>
      <c r="AV49" s="13">
        <v>1375064</v>
      </c>
      <c r="AW49" s="445">
        <f t="shared" si="9"/>
        <v>15125707</v>
      </c>
      <c r="AX49" s="431">
        <f t="shared" si="6"/>
        <v>1689861</v>
      </c>
    </row>
    <row r="50" spans="1:50" ht="15">
      <c r="A50" s="573">
        <v>17</v>
      </c>
      <c r="B50" s="575" t="s">
        <v>95</v>
      </c>
      <c r="C50" s="581" t="s">
        <v>254</v>
      </c>
      <c r="D50" s="577">
        <v>3665220</v>
      </c>
      <c r="E50" s="578">
        <f>+D50*$E$31</f>
        <v>2565654</v>
      </c>
      <c r="F50" s="579">
        <f>+D50*$F$31</f>
        <v>1099566</v>
      </c>
      <c r="G50" s="669"/>
      <c r="H50" s="319">
        <f t="shared" si="7"/>
        <v>3665220</v>
      </c>
      <c r="I50" s="154"/>
      <c r="J50" s="9"/>
      <c r="K50" s="9">
        <v>2565654</v>
      </c>
      <c r="L50" s="9"/>
      <c r="M50" s="9"/>
      <c r="N50" s="9"/>
      <c r="O50" s="9"/>
      <c r="P50" s="206"/>
      <c r="Q50" s="9"/>
      <c r="R50" s="9">
        <v>482362.00340110459</v>
      </c>
      <c r="S50" s="9">
        <v>617203.99659889564</v>
      </c>
      <c r="T50" s="13"/>
      <c r="U50" s="35"/>
      <c r="V50" s="9"/>
      <c r="W50" s="9">
        <v>2565654</v>
      </c>
      <c r="X50" s="9"/>
      <c r="Y50" s="194"/>
      <c r="Z50" s="206"/>
      <c r="AA50" s="9"/>
      <c r="AB50" s="9"/>
      <c r="AC50" s="9"/>
      <c r="AD50" s="206">
        <v>482362.00340110459</v>
      </c>
      <c r="AE50" s="9">
        <v>617203.99659889564</v>
      </c>
      <c r="AF50" s="9"/>
      <c r="AG50" s="12">
        <f t="shared" si="8"/>
        <v>3665220</v>
      </c>
      <c r="AH50" s="124">
        <f t="shared" si="5"/>
        <v>0</v>
      </c>
      <c r="AK50" s="35"/>
      <c r="AL50" s="9"/>
      <c r="AM50" s="9"/>
      <c r="AN50" s="9"/>
      <c r="AO50" s="194"/>
      <c r="AP50" s="206"/>
      <c r="AQ50" s="9"/>
      <c r="AR50" s="9"/>
      <c r="AS50" s="9"/>
      <c r="AT50" s="9"/>
      <c r="AU50" s="9"/>
      <c r="AV50" s="13"/>
      <c r="AW50" s="445">
        <f t="shared" si="9"/>
        <v>0</v>
      </c>
      <c r="AX50" s="431">
        <f t="shared" si="6"/>
        <v>3665220</v>
      </c>
    </row>
    <row r="51" spans="1:50" ht="15">
      <c r="A51" s="573">
        <v>18</v>
      </c>
      <c r="B51" s="575" t="s">
        <v>96</v>
      </c>
      <c r="C51" s="581" t="s">
        <v>254</v>
      </c>
      <c r="D51" s="577">
        <v>25656540</v>
      </c>
      <c r="E51" s="578">
        <f>+D51*$E$31</f>
        <v>17959578</v>
      </c>
      <c r="F51" s="579">
        <f>+D51*$F$31</f>
        <v>7696962</v>
      </c>
      <c r="G51" s="669"/>
      <c r="H51" s="319">
        <f t="shared" si="7"/>
        <v>25656540</v>
      </c>
      <c r="I51" s="154"/>
      <c r="J51" s="9"/>
      <c r="K51" s="9">
        <v>17959578</v>
      </c>
      <c r="L51" s="9"/>
      <c r="M51" s="9"/>
      <c r="N51" s="9"/>
      <c r="O51" s="9"/>
      <c r="P51" s="206"/>
      <c r="Q51" s="9"/>
      <c r="R51" s="9">
        <v>3376534.0238077319</v>
      </c>
      <c r="S51" s="9">
        <v>4320427.9761922695</v>
      </c>
      <c r="T51" s="13"/>
      <c r="U51" s="35"/>
      <c r="V51" s="9"/>
      <c r="W51" s="9">
        <v>17959578</v>
      </c>
      <c r="X51" s="9"/>
      <c r="Y51" s="194"/>
      <c r="Z51" s="206"/>
      <c r="AA51" s="9"/>
      <c r="AB51" s="9"/>
      <c r="AC51" s="9"/>
      <c r="AD51" s="206">
        <v>3376534.0238077319</v>
      </c>
      <c r="AE51" s="9">
        <v>4320427.9761922695</v>
      </c>
      <c r="AF51" s="9"/>
      <c r="AG51" s="12">
        <f t="shared" si="8"/>
        <v>25656540</v>
      </c>
      <c r="AH51" s="124">
        <f t="shared" si="5"/>
        <v>0</v>
      </c>
      <c r="AK51" s="35"/>
      <c r="AL51" s="9"/>
      <c r="AM51" s="9"/>
      <c r="AN51" s="9"/>
      <c r="AO51" s="194"/>
      <c r="AP51" s="206"/>
      <c r="AQ51" s="9"/>
      <c r="AR51" s="9"/>
      <c r="AS51" s="9"/>
      <c r="AT51" s="9"/>
      <c r="AU51" s="9"/>
      <c r="AV51" s="13"/>
      <c r="AW51" s="445">
        <f t="shared" si="9"/>
        <v>0</v>
      </c>
      <c r="AX51" s="431">
        <f t="shared" si="6"/>
        <v>25656540</v>
      </c>
    </row>
    <row r="52" spans="1:50" ht="15">
      <c r="A52" s="573">
        <v>19</v>
      </c>
      <c r="B52" s="575" t="s">
        <v>97</v>
      </c>
      <c r="C52" s="581" t="s">
        <v>254</v>
      </c>
      <c r="D52" s="577">
        <v>5131620</v>
      </c>
      <c r="E52" s="578">
        <f>+D52*$E$31</f>
        <v>3592134</v>
      </c>
      <c r="F52" s="579">
        <f>+D52*$F$31</f>
        <v>1539486</v>
      </c>
      <c r="G52" s="669"/>
      <c r="H52" s="319">
        <f t="shared" si="7"/>
        <v>5131620</v>
      </c>
      <c r="I52" s="154"/>
      <c r="J52" s="9"/>
      <c r="K52" s="9">
        <v>3592134</v>
      </c>
      <c r="L52" s="9"/>
      <c r="M52" s="9"/>
      <c r="N52" s="9"/>
      <c r="O52" s="9"/>
      <c r="P52" s="206"/>
      <c r="Q52" s="9"/>
      <c r="R52" s="9">
        <v>675347.8655832872</v>
      </c>
      <c r="S52" s="9">
        <v>864138.13441671245</v>
      </c>
      <c r="T52" s="13"/>
      <c r="U52" s="35"/>
      <c r="V52" s="9"/>
      <c r="W52" s="9">
        <v>3592134</v>
      </c>
      <c r="X52" s="9"/>
      <c r="Y52" s="194"/>
      <c r="Z52" s="206"/>
      <c r="AA52" s="9"/>
      <c r="AB52" s="9"/>
      <c r="AC52" s="9"/>
      <c r="AD52" s="206">
        <v>675347.8655832872</v>
      </c>
      <c r="AE52" s="9">
        <v>864138.13441671245</v>
      </c>
      <c r="AF52" s="9"/>
      <c r="AG52" s="12">
        <f t="shared" si="8"/>
        <v>5131620</v>
      </c>
      <c r="AH52" s="124">
        <f t="shared" si="5"/>
        <v>0</v>
      </c>
      <c r="AK52" s="35"/>
      <c r="AL52" s="9"/>
      <c r="AM52" s="9"/>
      <c r="AN52" s="9"/>
      <c r="AO52" s="194"/>
      <c r="AP52" s="206"/>
      <c r="AQ52" s="9"/>
      <c r="AR52" s="9"/>
      <c r="AS52" s="9"/>
      <c r="AT52" s="9"/>
      <c r="AU52" s="9"/>
      <c r="AV52" s="13"/>
      <c r="AW52" s="445">
        <f t="shared" si="9"/>
        <v>0</v>
      </c>
      <c r="AX52" s="431">
        <f t="shared" si="6"/>
        <v>5131620</v>
      </c>
    </row>
    <row r="53" spans="1:50" ht="15">
      <c r="A53" s="573">
        <v>20</v>
      </c>
      <c r="B53" s="575" t="s">
        <v>98</v>
      </c>
      <c r="C53" s="581" t="s">
        <v>254</v>
      </c>
      <c r="D53" s="577">
        <v>1300299</v>
      </c>
      <c r="E53" s="578">
        <f>+D53*$E$31</f>
        <v>910209.29999999993</v>
      </c>
      <c r="F53" s="579">
        <f>+D53*$F$31</f>
        <v>390089.7</v>
      </c>
      <c r="G53" s="669"/>
      <c r="H53" s="319">
        <f t="shared" si="7"/>
        <v>1300299</v>
      </c>
      <c r="I53" s="154"/>
      <c r="J53" s="9"/>
      <c r="K53" s="9">
        <v>910209.29999999993</v>
      </c>
      <c r="L53" s="9"/>
      <c r="M53" s="9"/>
      <c r="N53" s="9"/>
      <c r="O53" s="9"/>
      <c r="P53" s="206"/>
      <c r="Q53" s="9"/>
      <c r="R53" s="9">
        <v>171126.10720787646</v>
      </c>
      <c r="S53" s="9">
        <v>218963.59279212356</v>
      </c>
      <c r="T53" s="13"/>
      <c r="U53" s="35"/>
      <c r="V53" s="9"/>
      <c r="W53" s="9">
        <v>910209.29999999993</v>
      </c>
      <c r="X53" s="9"/>
      <c r="Y53" s="194"/>
      <c r="Z53" s="206"/>
      <c r="AA53" s="9"/>
      <c r="AB53" s="9"/>
      <c r="AC53" s="9"/>
      <c r="AD53" s="206">
        <v>171126.10720787646</v>
      </c>
      <c r="AE53" s="9">
        <v>218963.59279212356</v>
      </c>
      <c r="AF53" s="9"/>
      <c r="AG53" s="12">
        <f t="shared" si="8"/>
        <v>1300299</v>
      </c>
      <c r="AH53" s="124">
        <f t="shared" si="5"/>
        <v>0</v>
      </c>
      <c r="AK53" s="35"/>
      <c r="AL53" s="9"/>
      <c r="AM53" s="9"/>
      <c r="AN53" s="9"/>
      <c r="AO53" s="194"/>
      <c r="AP53" s="206"/>
      <c r="AQ53" s="9"/>
      <c r="AR53" s="9"/>
      <c r="AS53" s="9"/>
      <c r="AT53" s="9"/>
      <c r="AU53" s="9"/>
      <c r="AV53" s="13"/>
      <c r="AW53" s="445">
        <f t="shared" si="9"/>
        <v>0</v>
      </c>
      <c r="AX53" s="431">
        <f t="shared" si="6"/>
        <v>1300299</v>
      </c>
    </row>
    <row r="54" spans="1:50" ht="15">
      <c r="A54" s="18">
        <v>21</v>
      </c>
      <c r="B54" s="7" t="s">
        <v>84</v>
      </c>
      <c r="C54" s="137"/>
      <c r="D54" s="13"/>
      <c r="E54" s="142"/>
      <c r="F54" s="143"/>
      <c r="G54" s="160"/>
      <c r="H54" s="319">
        <f t="shared" si="7"/>
        <v>0</v>
      </c>
      <c r="I54" s="154"/>
      <c r="J54" s="9"/>
      <c r="K54" s="9"/>
      <c r="L54" s="9"/>
      <c r="M54" s="9"/>
      <c r="N54" s="9"/>
      <c r="O54" s="9"/>
      <c r="P54" s="206"/>
      <c r="Q54" s="9"/>
      <c r="R54" s="9"/>
      <c r="S54" s="9"/>
      <c r="T54" s="13"/>
      <c r="U54" s="35"/>
      <c r="V54" s="9"/>
      <c r="W54" s="9"/>
      <c r="X54" s="9"/>
      <c r="Y54" s="194"/>
      <c r="Z54" s="206"/>
      <c r="AA54" s="9"/>
      <c r="AB54" s="9"/>
      <c r="AC54" s="9"/>
      <c r="AD54" s="206"/>
      <c r="AE54" s="9"/>
      <c r="AF54" s="9"/>
      <c r="AG54" s="12">
        <f t="shared" si="8"/>
        <v>0</v>
      </c>
      <c r="AH54" s="124">
        <f t="shared" si="5"/>
        <v>0</v>
      </c>
      <c r="AK54" s="35"/>
      <c r="AL54" s="9"/>
      <c r="AM54" s="9"/>
      <c r="AN54" s="9"/>
      <c r="AO54" s="194"/>
      <c r="AP54" s="206"/>
      <c r="AQ54" s="9"/>
      <c r="AR54" s="9"/>
      <c r="AS54" s="9"/>
      <c r="AT54" s="9"/>
      <c r="AU54" s="9"/>
      <c r="AV54" s="13"/>
      <c r="AW54" s="445">
        <f t="shared" si="9"/>
        <v>0</v>
      </c>
      <c r="AX54" s="431">
        <f t="shared" si="6"/>
        <v>0</v>
      </c>
    </row>
    <row r="55" spans="1:50" ht="15">
      <c r="A55" s="573">
        <v>22</v>
      </c>
      <c r="B55" s="575" t="s">
        <v>85</v>
      </c>
      <c r="C55" s="581">
        <v>2618</v>
      </c>
      <c r="D55" s="577">
        <v>51934729</v>
      </c>
      <c r="E55" s="578">
        <f>+D55*E31</f>
        <v>36354310.299999997</v>
      </c>
      <c r="F55" s="579">
        <f>+D55*F31</f>
        <v>15580418.699999999</v>
      </c>
      <c r="G55" s="580"/>
      <c r="H55" s="319">
        <f t="shared" si="7"/>
        <v>51934729</v>
      </c>
      <c r="I55" s="154"/>
      <c r="J55" s="9"/>
      <c r="K55" s="9"/>
      <c r="L55" s="9"/>
      <c r="M55" s="9">
        <v>36354310</v>
      </c>
      <c r="N55" s="9"/>
      <c r="O55" s="9"/>
      <c r="P55" s="206"/>
      <c r="Q55" s="9"/>
      <c r="R55" s="9">
        <v>15580419</v>
      </c>
      <c r="S55" s="9"/>
      <c r="T55" s="13"/>
      <c r="U55" s="35"/>
      <c r="V55" s="9"/>
      <c r="W55" s="9"/>
      <c r="X55" s="9"/>
      <c r="Y55" s="194">
        <v>36354310</v>
      </c>
      <c r="Z55" s="206"/>
      <c r="AA55" s="9"/>
      <c r="AB55" s="9"/>
      <c r="AC55" s="9"/>
      <c r="AD55" s="206">
        <v>15580419</v>
      </c>
      <c r="AE55" s="9"/>
      <c r="AF55" s="9"/>
      <c r="AG55" s="12">
        <f t="shared" si="8"/>
        <v>51934729</v>
      </c>
      <c r="AH55" s="124">
        <f t="shared" si="5"/>
        <v>0</v>
      </c>
      <c r="AK55" s="35"/>
      <c r="AL55" s="9"/>
      <c r="AM55" s="9"/>
      <c r="AN55" s="9"/>
      <c r="AO55" s="194"/>
      <c r="AP55" s="206"/>
      <c r="AQ55" s="9">
        <v>25967364</v>
      </c>
      <c r="AR55" s="9">
        <v>4327894</v>
      </c>
      <c r="AS55" s="9">
        <v>4327894</v>
      </c>
      <c r="AT55" s="9">
        <v>4327894</v>
      </c>
      <c r="AU55" s="9">
        <v>4327894</v>
      </c>
      <c r="AV55" s="13">
        <v>4327894</v>
      </c>
      <c r="AW55" s="445">
        <f t="shared" si="9"/>
        <v>47606834</v>
      </c>
      <c r="AX55" s="431">
        <f t="shared" si="6"/>
        <v>4327895</v>
      </c>
    </row>
    <row r="56" spans="1:50" ht="15">
      <c r="A56" s="18">
        <v>23</v>
      </c>
      <c r="B56" s="7" t="s">
        <v>86</v>
      </c>
      <c r="C56" s="137"/>
      <c r="D56" s="13"/>
      <c r="E56" s="142"/>
      <c r="F56" s="143"/>
      <c r="G56" s="160"/>
      <c r="H56" s="319">
        <f t="shared" si="7"/>
        <v>0</v>
      </c>
      <c r="I56" s="154"/>
      <c r="J56" s="9"/>
      <c r="K56" s="9"/>
      <c r="L56" s="9"/>
      <c r="M56" s="9"/>
      <c r="N56" s="9"/>
      <c r="O56" s="9"/>
      <c r="P56" s="206"/>
      <c r="Q56" s="9"/>
      <c r="R56" s="9"/>
      <c r="S56" s="9"/>
      <c r="T56" s="13"/>
      <c r="U56" s="35"/>
      <c r="V56" s="9"/>
      <c r="W56" s="9"/>
      <c r="X56" s="9"/>
      <c r="Y56" s="194"/>
      <c r="Z56" s="206"/>
      <c r="AA56" s="9"/>
      <c r="AB56" s="9"/>
      <c r="AC56" s="9"/>
      <c r="AD56" s="206"/>
      <c r="AE56" s="9"/>
      <c r="AF56" s="9"/>
      <c r="AG56" s="12">
        <f t="shared" si="8"/>
        <v>0</v>
      </c>
      <c r="AH56" s="124">
        <f t="shared" si="5"/>
        <v>0</v>
      </c>
      <c r="AK56" s="35"/>
      <c r="AL56" s="9"/>
      <c r="AM56" s="9"/>
      <c r="AN56" s="9"/>
      <c r="AO56" s="194"/>
      <c r="AP56" s="206"/>
      <c r="AQ56" s="9"/>
      <c r="AR56" s="9"/>
      <c r="AS56" s="9"/>
      <c r="AT56" s="9"/>
      <c r="AU56" s="9"/>
      <c r="AV56" s="13"/>
      <c r="AW56" s="445">
        <f t="shared" si="9"/>
        <v>0</v>
      </c>
      <c r="AX56" s="431">
        <f t="shared" si="6"/>
        <v>0</v>
      </c>
    </row>
    <row r="57" spans="1:50" ht="15">
      <c r="A57" s="18">
        <v>24</v>
      </c>
      <c r="B57" s="7" t="s">
        <v>87</v>
      </c>
      <c r="C57" s="137"/>
      <c r="D57" s="13"/>
      <c r="E57" s="142"/>
      <c r="F57" s="143"/>
      <c r="G57" s="160"/>
      <c r="H57" s="319">
        <f t="shared" si="7"/>
        <v>0</v>
      </c>
      <c r="I57" s="154"/>
      <c r="J57" s="9"/>
      <c r="K57" s="9"/>
      <c r="L57" s="9"/>
      <c r="M57" s="9"/>
      <c r="N57" s="9"/>
      <c r="O57" s="9"/>
      <c r="P57" s="206"/>
      <c r="Q57" s="9"/>
      <c r="R57" s="9"/>
      <c r="S57" s="9"/>
      <c r="T57" s="13"/>
      <c r="U57" s="35"/>
      <c r="V57" s="9"/>
      <c r="W57" s="9"/>
      <c r="X57" s="9"/>
      <c r="Y57" s="194"/>
      <c r="Z57" s="206"/>
      <c r="AA57" s="9"/>
      <c r="AB57" s="9"/>
      <c r="AC57" s="9"/>
      <c r="AD57" s="206"/>
      <c r="AE57" s="9"/>
      <c r="AF57" s="9"/>
      <c r="AG57" s="12">
        <f t="shared" si="8"/>
        <v>0</v>
      </c>
      <c r="AH57" s="124">
        <f t="shared" si="5"/>
        <v>0</v>
      </c>
      <c r="AK57" s="35"/>
      <c r="AL57" s="9"/>
      <c r="AM57" s="9"/>
      <c r="AN57" s="9"/>
      <c r="AO57" s="194"/>
      <c r="AP57" s="206"/>
      <c r="AQ57" s="9"/>
      <c r="AR57" s="9"/>
      <c r="AS57" s="9"/>
      <c r="AT57" s="9"/>
      <c r="AU57" s="9"/>
      <c r="AV57" s="13"/>
      <c r="AW57" s="445">
        <f t="shared" si="9"/>
        <v>0</v>
      </c>
      <c r="AX57" s="431">
        <f t="shared" si="6"/>
        <v>0</v>
      </c>
    </row>
    <row r="58" spans="1:50" s="190" customFormat="1" ht="28.5">
      <c r="A58" s="573">
        <v>25</v>
      </c>
      <c r="B58" s="595" t="s">
        <v>109</v>
      </c>
      <c r="C58" s="596">
        <v>2315</v>
      </c>
      <c r="D58" s="597">
        <v>1653105</v>
      </c>
      <c r="E58" s="598">
        <f>+D58*E31</f>
        <v>1157173.5</v>
      </c>
      <c r="F58" s="599">
        <f>+D58*F31</f>
        <v>495931.5</v>
      </c>
      <c r="G58" s="600"/>
      <c r="H58" s="349">
        <f t="shared" si="7"/>
        <v>1653105</v>
      </c>
      <c r="I58" s="188"/>
      <c r="J58" s="186"/>
      <c r="K58" s="186"/>
      <c r="L58" s="186"/>
      <c r="M58" s="186">
        <v>1157173</v>
      </c>
      <c r="N58" s="186"/>
      <c r="O58" s="9"/>
      <c r="P58" s="206"/>
      <c r="Q58" s="9"/>
      <c r="R58" s="9">
        <v>495932</v>
      </c>
      <c r="S58" s="9"/>
      <c r="T58" s="13"/>
      <c r="U58" s="191"/>
      <c r="V58" s="186"/>
      <c r="W58" s="186"/>
      <c r="X58" s="186"/>
      <c r="Y58" s="392">
        <v>1157173</v>
      </c>
      <c r="Z58" s="231"/>
      <c r="AA58" s="186"/>
      <c r="AB58" s="186"/>
      <c r="AC58" s="186"/>
      <c r="AD58" s="231">
        <v>495932</v>
      </c>
      <c r="AE58" s="186"/>
      <c r="AF58" s="186"/>
      <c r="AG58" s="187">
        <f t="shared" si="8"/>
        <v>1653105</v>
      </c>
      <c r="AH58" s="350">
        <f t="shared" si="5"/>
        <v>0</v>
      </c>
      <c r="AK58" s="191"/>
      <c r="AL58" s="186"/>
      <c r="AM58" s="186"/>
      <c r="AN58" s="186"/>
      <c r="AO58" s="392"/>
      <c r="AP58" s="231"/>
      <c r="AQ58" s="186"/>
      <c r="AR58" s="186">
        <v>286195</v>
      </c>
      <c r="AS58" s="186"/>
      <c r="AT58" s="186"/>
      <c r="AU58" s="186"/>
      <c r="AV58" s="183"/>
      <c r="AW58" s="446">
        <f t="shared" si="9"/>
        <v>286195</v>
      </c>
      <c r="AX58" s="431">
        <f t="shared" si="6"/>
        <v>1366910</v>
      </c>
    </row>
    <row r="59" spans="1:50" ht="15">
      <c r="A59" s="18">
        <v>26</v>
      </c>
      <c r="B59" s="7" t="s">
        <v>88</v>
      </c>
      <c r="C59" s="137"/>
      <c r="D59" s="13"/>
      <c r="E59" s="142"/>
      <c r="F59" s="143"/>
      <c r="G59" s="160"/>
      <c r="H59" s="319">
        <f t="shared" si="7"/>
        <v>0</v>
      </c>
      <c r="I59" s="154"/>
      <c r="J59" s="9"/>
      <c r="K59" s="9"/>
      <c r="L59" s="9"/>
      <c r="M59" s="9"/>
      <c r="N59" s="9"/>
      <c r="O59" s="9"/>
      <c r="P59" s="206"/>
      <c r="Q59" s="9"/>
      <c r="R59" s="9"/>
      <c r="S59" s="9"/>
      <c r="T59" s="13"/>
      <c r="U59" s="35"/>
      <c r="V59" s="9"/>
      <c r="W59" s="9"/>
      <c r="X59" s="9"/>
      <c r="Y59" s="194"/>
      <c r="Z59" s="206"/>
      <c r="AA59" s="9"/>
      <c r="AB59" s="9"/>
      <c r="AC59" s="9"/>
      <c r="AD59" s="206"/>
      <c r="AE59" s="9"/>
      <c r="AF59" s="9"/>
      <c r="AG59" s="12">
        <f t="shared" si="8"/>
        <v>0</v>
      </c>
      <c r="AH59" s="124">
        <f t="shared" si="5"/>
        <v>0</v>
      </c>
      <c r="AK59" s="35"/>
      <c r="AL59" s="9"/>
      <c r="AM59" s="9"/>
      <c r="AN59" s="9"/>
      <c r="AO59" s="194"/>
      <c r="AP59" s="206"/>
      <c r="AQ59" s="9"/>
      <c r="AR59" s="9"/>
      <c r="AS59" s="9"/>
      <c r="AT59" s="9"/>
      <c r="AU59" s="9"/>
      <c r="AV59" s="13"/>
      <c r="AW59" s="445">
        <f t="shared" si="9"/>
        <v>0</v>
      </c>
      <c r="AX59" s="431">
        <f t="shared" si="6"/>
        <v>0</v>
      </c>
    </row>
    <row r="60" spans="1:50" ht="15">
      <c r="A60" s="18">
        <v>27</v>
      </c>
      <c r="B60" s="7" t="s">
        <v>89</v>
      </c>
      <c r="C60" s="137"/>
      <c r="D60" s="13"/>
      <c r="E60" s="142"/>
      <c r="F60" s="143"/>
      <c r="G60" s="160"/>
      <c r="H60" s="319">
        <f t="shared" si="7"/>
        <v>0</v>
      </c>
      <c r="I60" s="154"/>
      <c r="J60" s="9"/>
      <c r="K60" s="9"/>
      <c r="L60" s="9"/>
      <c r="M60" s="9"/>
      <c r="N60" s="9"/>
      <c r="O60" s="9"/>
      <c r="P60" s="206"/>
      <c r="Q60" s="9"/>
      <c r="R60" s="9"/>
      <c r="S60" s="9"/>
      <c r="T60" s="13"/>
      <c r="U60" s="35"/>
      <c r="V60" s="9"/>
      <c r="W60" s="9"/>
      <c r="X60" s="9"/>
      <c r="Y60" s="194"/>
      <c r="Z60" s="206"/>
      <c r="AA60" s="9"/>
      <c r="AB60" s="9"/>
      <c r="AC60" s="9"/>
      <c r="AD60" s="206"/>
      <c r="AE60" s="9"/>
      <c r="AF60" s="9"/>
      <c r="AG60" s="12">
        <f t="shared" si="8"/>
        <v>0</v>
      </c>
      <c r="AH60" s="124">
        <f t="shared" si="5"/>
        <v>0</v>
      </c>
      <c r="AK60" s="35"/>
      <c r="AL60" s="9"/>
      <c r="AM60" s="9"/>
      <c r="AN60" s="9"/>
      <c r="AO60" s="194"/>
      <c r="AP60" s="206"/>
      <c r="AQ60" s="9"/>
      <c r="AR60" s="9"/>
      <c r="AS60" s="9"/>
      <c r="AT60" s="9"/>
      <c r="AU60" s="9"/>
      <c r="AV60" s="13"/>
      <c r="AW60" s="445">
        <f t="shared" si="9"/>
        <v>0</v>
      </c>
      <c r="AX60" s="431">
        <f t="shared" si="6"/>
        <v>0</v>
      </c>
    </row>
    <row r="61" spans="1:50" ht="15">
      <c r="A61" s="18">
        <v>28</v>
      </c>
      <c r="B61" s="7" t="s">
        <v>110</v>
      </c>
      <c r="C61" s="137"/>
      <c r="D61" s="13"/>
      <c r="E61" s="142"/>
      <c r="F61" s="143"/>
      <c r="G61" s="160"/>
      <c r="H61" s="319">
        <f t="shared" si="7"/>
        <v>0</v>
      </c>
      <c r="I61" s="154"/>
      <c r="J61" s="9"/>
      <c r="K61" s="9"/>
      <c r="L61" s="9"/>
      <c r="M61" s="9"/>
      <c r="N61" s="9"/>
      <c r="O61" s="9"/>
      <c r="P61" s="206"/>
      <c r="Q61" s="9"/>
      <c r="R61" s="9"/>
      <c r="S61" s="9"/>
      <c r="T61" s="13"/>
      <c r="U61" s="35"/>
      <c r="V61" s="9"/>
      <c r="W61" s="9"/>
      <c r="X61" s="9"/>
      <c r="Y61" s="194"/>
      <c r="Z61" s="206"/>
      <c r="AA61" s="9"/>
      <c r="AB61" s="9"/>
      <c r="AC61" s="9"/>
      <c r="AD61" s="206"/>
      <c r="AE61" s="9"/>
      <c r="AF61" s="9"/>
      <c r="AG61" s="12">
        <f t="shared" si="8"/>
        <v>0</v>
      </c>
      <c r="AH61" s="124">
        <f t="shared" si="5"/>
        <v>0</v>
      </c>
      <c r="AK61" s="35"/>
      <c r="AL61" s="9"/>
      <c r="AM61" s="9"/>
      <c r="AN61" s="9"/>
      <c r="AO61" s="194"/>
      <c r="AP61" s="206"/>
      <c r="AQ61" s="9"/>
      <c r="AR61" s="9"/>
      <c r="AS61" s="9"/>
      <c r="AT61" s="9"/>
      <c r="AU61" s="9"/>
      <c r="AV61" s="13"/>
      <c r="AW61" s="445">
        <f t="shared" si="9"/>
        <v>0</v>
      </c>
      <c r="AX61" s="431">
        <f t="shared" si="6"/>
        <v>0</v>
      </c>
    </row>
    <row r="62" spans="1:50" ht="15">
      <c r="A62" s="18">
        <v>29</v>
      </c>
      <c r="B62" s="7" t="s">
        <v>103</v>
      </c>
      <c r="C62" s="137"/>
      <c r="D62" s="13"/>
      <c r="E62" s="142"/>
      <c r="F62" s="143"/>
      <c r="G62" s="160"/>
      <c r="H62" s="319">
        <f t="shared" si="7"/>
        <v>0</v>
      </c>
      <c r="I62" s="154"/>
      <c r="J62" s="9"/>
      <c r="K62" s="9"/>
      <c r="L62" s="9"/>
      <c r="M62" s="9"/>
      <c r="N62" s="9"/>
      <c r="O62" s="9"/>
      <c r="P62" s="206"/>
      <c r="Q62" s="9"/>
      <c r="R62" s="9"/>
      <c r="S62" s="9"/>
      <c r="T62" s="13"/>
      <c r="U62" s="35"/>
      <c r="V62" s="9"/>
      <c r="W62" s="9"/>
      <c r="X62" s="9"/>
      <c r="Y62" s="194"/>
      <c r="Z62" s="206"/>
      <c r="AA62" s="9"/>
      <c r="AB62" s="9"/>
      <c r="AC62" s="9"/>
      <c r="AD62" s="206"/>
      <c r="AE62" s="9"/>
      <c r="AF62" s="9"/>
      <c r="AG62" s="12">
        <f t="shared" si="8"/>
        <v>0</v>
      </c>
      <c r="AH62" s="124">
        <f t="shared" si="5"/>
        <v>0</v>
      </c>
      <c r="AK62" s="35"/>
      <c r="AL62" s="9"/>
      <c r="AM62" s="9"/>
      <c r="AN62" s="9"/>
      <c r="AO62" s="194"/>
      <c r="AP62" s="206"/>
      <c r="AQ62" s="9"/>
      <c r="AR62" s="9"/>
      <c r="AS62" s="9"/>
      <c r="AT62" s="9"/>
      <c r="AU62" s="9"/>
      <c r="AV62" s="13"/>
      <c r="AW62" s="445">
        <f t="shared" si="9"/>
        <v>0</v>
      </c>
      <c r="AX62" s="431">
        <f t="shared" si="6"/>
        <v>0</v>
      </c>
    </row>
    <row r="63" spans="1:50" ht="15">
      <c r="A63" s="573">
        <v>30</v>
      </c>
      <c r="B63" s="575" t="s">
        <v>90</v>
      </c>
      <c r="C63" s="581">
        <v>2314</v>
      </c>
      <c r="D63" s="577">
        <v>35873050</v>
      </c>
      <c r="E63" s="578">
        <f>+D63*E31</f>
        <v>25111135</v>
      </c>
      <c r="F63" s="579">
        <f>+D63*F31</f>
        <v>10761915</v>
      </c>
      <c r="G63" s="580"/>
      <c r="H63" s="319">
        <f t="shared" si="7"/>
        <v>35873050</v>
      </c>
      <c r="I63" s="154"/>
      <c r="J63" s="9"/>
      <c r="K63" s="9"/>
      <c r="L63" s="9">
        <v>23011135</v>
      </c>
      <c r="M63" s="9">
        <v>2100000</v>
      </c>
      <c r="N63" s="9"/>
      <c r="O63" s="9"/>
      <c r="P63" s="206"/>
      <c r="Q63" s="9"/>
      <c r="R63" s="9">
        <v>10761915</v>
      </c>
      <c r="S63" s="9"/>
      <c r="T63" s="13"/>
      <c r="U63" s="35"/>
      <c r="V63" s="9"/>
      <c r="W63" s="9"/>
      <c r="X63" s="9">
        <v>23011135</v>
      </c>
      <c r="Y63" s="194">
        <v>2100000</v>
      </c>
      <c r="Z63" s="206"/>
      <c r="AA63" s="9"/>
      <c r="AB63" s="9"/>
      <c r="AC63" s="9"/>
      <c r="AD63" s="206">
        <v>10761915</v>
      </c>
      <c r="AE63" s="9"/>
      <c r="AF63" s="9"/>
      <c r="AG63" s="12">
        <f t="shared" si="8"/>
        <v>35873050</v>
      </c>
      <c r="AH63" s="124">
        <f t="shared" si="5"/>
        <v>0</v>
      </c>
      <c r="AK63" s="35"/>
      <c r="AL63" s="9"/>
      <c r="AM63" s="9"/>
      <c r="AN63" s="9"/>
      <c r="AO63" s="194"/>
      <c r="AP63" s="206"/>
      <c r="AQ63" s="9">
        <v>22750731</v>
      </c>
      <c r="AR63" s="9">
        <v>2136168</v>
      </c>
      <c r="AS63" s="9">
        <v>3088168</v>
      </c>
      <c r="AT63" s="9">
        <v>3564066</v>
      </c>
      <c r="AU63" s="9">
        <v>830083</v>
      </c>
      <c r="AV63" s="13">
        <v>1414384</v>
      </c>
      <c r="AW63" s="445">
        <f t="shared" si="9"/>
        <v>33783600</v>
      </c>
      <c r="AX63" s="431">
        <f t="shared" si="6"/>
        <v>2089450</v>
      </c>
    </row>
    <row r="64" spans="1:50" ht="15">
      <c r="A64" s="18">
        <v>31</v>
      </c>
      <c r="B64" s="7" t="s">
        <v>91</v>
      </c>
      <c r="C64" s="137"/>
      <c r="D64" s="13"/>
      <c r="E64" s="142"/>
      <c r="F64" s="143"/>
      <c r="G64" s="160"/>
      <c r="H64" s="319">
        <f t="shared" si="7"/>
        <v>0</v>
      </c>
      <c r="I64" s="154"/>
      <c r="J64" s="9"/>
      <c r="K64" s="9"/>
      <c r="L64" s="9"/>
      <c r="M64" s="9"/>
      <c r="N64" s="9"/>
      <c r="O64" s="9"/>
      <c r="P64" s="206"/>
      <c r="Q64" s="9"/>
      <c r="R64" s="9"/>
      <c r="S64" s="9"/>
      <c r="T64" s="13"/>
      <c r="U64" s="35"/>
      <c r="V64" s="9"/>
      <c r="W64" s="9"/>
      <c r="X64" s="9"/>
      <c r="Y64" s="194"/>
      <c r="Z64" s="206"/>
      <c r="AA64" s="9"/>
      <c r="AB64" s="9"/>
      <c r="AC64" s="9"/>
      <c r="AD64" s="206"/>
      <c r="AE64" s="9"/>
      <c r="AF64" s="9"/>
      <c r="AG64" s="12">
        <f t="shared" si="8"/>
        <v>0</v>
      </c>
      <c r="AH64" s="124">
        <f t="shared" si="5"/>
        <v>0</v>
      </c>
      <c r="AK64" s="35"/>
      <c r="AL64" s="9"/>
      <c r="AM64" s="9"/>
      <c r="AN64" s="9"/>
      <c r="AO64" s="194"/>
      <c r="AP64" s="206"/>
      <c r="AQ64" s="9"/>
      <c r="AR64" s="9"/>
      <c r="AS64" s="9"/>
      <c r="AT64" s="9"/>
      <c r="AU64" s="9"/>
      <c r="AV64" s="13"/>
      <c r="AW64" s="445">
        <f t="shared" si="9"/>
        <v>0</v>
      </c>
      <c r="AX64" s="431">
        <f t="shared" si="6"/>
        <v>0</v>
      </c>
    </row>
    <row r="65" spans="1:50" ht="15">
      <c r="A65" s="573">
        <v>32</v>
      </c>
      <c r="B65" s="575" t="s">
        <v>92</v>
      </c>
      <c r="C65" s="581">
        <v>1360</v>
      </c>
      <c r="D65" s="577">
        <v>2031176</v>
      </c>
      <c r="E65" s="578">
        <f>+D65*E31</f>
        <v>1421823.2</v>
      </c>
      <c r="F65" s="579">
        <f>+D65*F31</f>
        <v>609352.79999999993</v>
      </c>
      <c r="G65" s="580"/>
      <c r="H65" s="319">
        <f t="shared" si="7"/>
        <v>2031176</v>
      </c>
      <c r="I65" s="154"/>
      <c r="J65" s="9"/>
      <c r="K65" s="9">
        <v>1421823.2</v>
      </c>
      <c r="L65" s="9"/>
      <c r="M65" s="9"/>
      <c r="N65" s="9"/>
      <c r="O65" s="9"/>
      <c r="P65" s="206"/>
      <c r="Q65" s="9"/>
      <c r="R65" s="9">
        <v>609352.80000000005</v>
      </c>
      <c r="S65" s="9"/>
      <c r="T65" s="13"/>
      <c r="U65" s="35"/>
      <c r="V65" s="9"/>
      <c r="W65" s="9">
        <v>1421823</v>
      </c>
      <c r="X65" s="9"/>
      <c r="Y65" s="194"/>
      <c r="Z65" s="206"/>
      <c r="AA65" s="9"/>
      <c r="AB65" s="9"/>
      <c r="AC65" s="9"/>
      <c r="AD65" s="206">
        <v>609353</v>
      </c>
      <c r="AE65" s="9"/>
      <c r="AF65" s="9"/>
      <c r="AG65" s="12">
        <f t="shared" si="8"/>
        <v>2031176</v>
      </c>
      <c r="AH65" s="124">
        <f t="shared" si="5"/>
        <v>0</v>
      </c>
      <c r="AK65" s="35"/>
      <c r="AL65" s="9"/>
      <c r="AM65" s="9"/>
      <c r="AN65" s="9"/>
      <c r="AO65" s="194"/>
      <c r="AP65" s="206"/>
      <c r="AQ65" s="9"/>
      <c r="AR65" s="9"/>
      <c r="AS65" s="9"/>
      <c r="AT65" s="9"/>
      <c r="AU65" s="9"/>
      <c r="AV65" s="13"/>
      <c r="AW65" s="445">
        <f t="shared" si="9"/>
        <v>0</v>
      </c>
      <c r="AX65" s="431">
        <f t="shared" si="6"/>
        <v>2031176</v>
      </c>
    </row>
    <row r="66" spans="1:50" ht="15">
      <c r="A66" s="573">
        <v>33</v>
      </c>
      <c r="B66" s="568" t="s">
        <v>107</v>
      </c>
      <c r="C66" s="566">
        <v>1952</v>
      </c>
      <c r="D66" s="567">
        <v>3484627</v>
      </c>
      <c r="E66" s="563">
        <f>+D66*E31</f>
        <v>2439238.9</v>
      </c>
      <c r="F66" s="564">
        <f>+D66*F31</f>
        <v>1045388.1</v>
      </c>
      <c r="G66" s="565"/>
      <c r="H66" s="319">
        <f t="shared" si="7"/>
        <v>3484627</v>
      </c>
      <c r="I66" s="155"/>
      <c r="J66" s="48"/>
      <c r="K66" s="48">
        <v>2439238</v>
      </c>
      <c r="L66" s="48"/>
      <c r="M66" s="48"/>
      <c r="N66" s="48"/>
      <c r="O66" s="9"/>
      <c r="P66" s="206"/>
      <c r="Q66" s="9"/>
      <c r="R66" s="9">
        <v>1045389</v>
      </c>
      <c r="S66" s="9"/>
      <c r="T66" s="13"/>
      <c r="U66" s="49"/>
      <c r="V66" s="48"/>
      <c r="W66" s="48">
        <v>2439238</v>
      </c>
      <c r="X66" s="48"/>
      <c r="Y66" s="393"/>
      <c r="Z66" s="210"/>
      <c r="AA66" s="48"/>
      <c r="AB66" s="48"/>
      <c r="AC66" s="48"/>
      <c r="AD66" s="210">
        <v>1045389</v>
      </c>
      <c r="AE66" s="48"/>
      <c r="AF66" s="9"/>
      <c r="AG66" s="12">
        <f t="shared" si="8"/>
        <v>3484627</v>
      </c>
      <c r="AH66" s="124">
        <f t="shared" si="5"/>
        <v>0</v>
      </c>
      <c r="AK66" s="49">
        <v>0</v>
      </c>
      <c r="AL66" s="48">
        <v>0</v>
      </c>
      <c r="AM66" s="48">
        <v>0</v>
      </c>
      <c r="AN66" s="48"/>
      <c r="AO66" s="393"/>
      <c r="AP66" s="210"/>
      <c r="AQ66" s="48">
        <v>1161540</v>
      </c>
      <c r="AR66" s="48">
        <v>192270</v>
      </c>
      <c r="AS66" s="48">
        <v>192270</v>
      </c>
      <c r="AT66" s="48">
        <v>192270</v>
      </c>
      <c r="AU66" s="48">
        <v>192270</v>
      </c>
      <c r="AV66" s="43">
        <v>192270</v>
      </c>
      <c r="AW66" s="445">
        <f t="shared" si="9"/>
        <v>2122890</v>
      </c>
      <c r="AX66" s="431">
        <f t="shared" si="6"/>
        <v>1361737</v>
      </c>
    </row>
    <row r="67" spans="1:50" ht="14.25" customHeight="1">
      <c r="A67" s="573">
        <v>34</v>
      </c>
      <c r="B67" s="568" t="s">
        <v>180</v>
      </c>
      <c r="C67" s="566" t="s">
        <v>294</v>
      </c>
      <c r="D67" s="567">
        <f>5779488+17461000+11217076</f>
        <v>34457564</v>
      </c>
      <c r="E67" s="563">
        <v>4045641.5999999996</v>
      </c>
      <c r="F67" s="564">
        <v>1733846.4</v>
      </c>
      <c r="G67" s="565">
        <v>17461000</v>
      </c>
      <c r="H67" s="319">
        <f t="shared" si="7"/>
        <v>36250640</v>
      </c>
      <c r="I67" s="155"/>
      <c r="J67" s="48"/>
      <c r="K67" s="48">
        <v>4045641</v>
      </c>
      <c r="L67" s="48"/>
      <c r="M67" s="48">
        <v>1599827</v>
      </c>
      <c r="N67" s="48"/>
      <c r="O67" s="9"/>
      <c r="P67" s="206">
        <v>12222700</v>
      </c>
      <c r="Q67" s="9"/>
      <c r="R67" s="9">
        <f>4038718+1333602</f>
        <v>5372320</v>
      </c>
      <c r="S67" s="9">
        <f>9423096+1793980</f>
        <v>11217076</v>
      </c>
      <c r="T67" s="13">
        <v>1793076</v>
      </c>
      <c r="U67" s="49"/>
      <c r="V67" s="48"/>
      <c r="W67" s="48">
        <v>4045641</v>
      </c>
      <c r="X67" s="48"/>
      <c r="Y67" s="393">
        <v>1599827</v>
      </c>
      <c r="Z67" s="210"/>
      <c r="AA67" s="48"/>
      <c r="AB67" s="48">
        <v>12222700</v>
      </c>
      <c r="AC67" s="48"/>
      <c r="AD67" s="210">
        <f>4038718+1333602</f>
        <v>5372320</v>
      </c>
      <c r="AE67" s="48">
        <f>9423096+1793980</f>
        <v>11217076</v>
      </c>
      <c r="AF67" s="7"/>
      <c r="AG67" s="12">
        <f>SUM(U67:AE67)</f>
        <v>34457564</v>
      </c>
      <c r="AH67" s="124">
        <f t="shared" si="5"/>
        <v>1793076</v>
      </c>
      <c r="AK67" s="49"/>
      <c r="AL67" s="48"/>
      <c r="AM67" s="48"/>
      <c r="AN67" s="48"/>
      <c r="AO67" s="393"/>
      <c r="AP67" s="210"/>
      <c r="AQ67" s="48">
        <v>2963160</v>
      </c>
      <c r="AR67" s="48">
        <v>469360</v>
      </c>
      <c r="AS67" s="48">
        <v>469360</v>
      </c>
      <c r="AT67" s="48">
        <v>469360</v>
      </c>
      <c r="AU67" s="48">
        <v>3445360</v>
      </c>
      <c r="AV67" s="43">
        <v>3445360</v>
      </c>
      <c r="AW67" s="445">
        <f t="shared" si="9"/>
        <v>11261960</v>
      </c>
      <c r="AX67" s="431">
        <f t="shared" si="6"/>
        <v>23195604</v>
      </c>
    </row>
    <row r="68" spans="1:50" ht="15">
      <c r="A68" s="18">
        <v>35</v>
      </c>
      <c r="B68" s="52" t="s">
        <v>181</v>
      </c>
      <c r="C68" s="145"/>
      <c r="D68" s="43"/>
      <c r="E68" s="174"/>
      <c r="F68" s="175"/>
      <c r="G68" s="176"/>
      <c r="H68" s="319">
        <f t="shared" si="7"/>
        <v>0</v>
      </c>
      <c r="I68" s="155"/>
      <c r="J68" s="48"/>
      <c r="K68" s="48"/>
      <c r="L68" s="48"/>
      <c r="M68" s="48"/>
      <c r="N68" s="48"/>
      <c r="O68" s="9"/>
      <c r="P68" s="206"/>
      <c r="Q68" s="9"/>
      <c r="R68" s="9"/>
      <c r="S68" s="9"/>
      <c r="T68" s="13"/>
      <c r="U68" s="49"/>
      <c r="V68" s="48"/>
      <c r="W68" s="48"/>
      <c r="X68" s="48"/>
      <c r="Y68" s="393"/>
      <c r="Z68" s="210"/>
      <c r="AA68" s="48"/>
      <c r="AB68" s="48"/>
      <c r="AC68" s="48"/>
      <c r="AD68" s="210"/>
      <c r="AE68" s="48"/>
      <c r="AF68" s="48"/>
      <c r="AG68" s="12">
        <f t="shared" ref="AG68:AG74" si="10">SUM(U68:AF68)</f>
        <v>0</v>
      </c>
      <c r="AH68" s="124">
        <f t="shared" ref="AH68:AH80" si="11">+H68-AG68</f>
        <v>0</v>
      </c>
      <c r="AK68" s="49"/>
      <c r="AL68" s="48"/>
      <c r="AM68" s="48"/>
      <c r="AN68" s="48"/>
      <c r="AO68" s="393"/>
      <c r="AP68" s="210"/>
      <c r="AQ68" s="48"/>
      <c r="AR68" s="48"/>
      <c r="AS68" s="48"/>
      <c r="AT68" s="48"/>
      <c r="AU68" s="48"/>
      <c r="AV68" s="43"/>
      <c r="AW68" s="445">
        <f t="shared" si="9"/>
        <v>0</v>
      </c>
      <c r="AX68" s="431">
        <f t="shared" si="6"/>
        <v>0</v>
      </c>
    </row>
    <row r="69" spans="1:50" ht="15">
      <c r="A69" s="18">
        <v>36</v>
      </c>
      <c r="B69" s="52" t="s">
        <v>314</v>
      </c>
      <c r="C69" s="145" t="s">
        <v>315</v>
      </c>
      <c r="D69" s="43">
        <v>4141380</v>
      </c>
      <c r="E69" s="174">
        <f>+D69</f>
        <v>4141380</v>
      </c>
      <c r="F69" s="175"/>
      <c r="G69" s="176"/>
      <c r="H69" s="319">
        <f t="shared" si="7"/>
        <v>4141380</v>
      </c>
      <c r="I69" s="155"/>
      <c r="J69" s="48"/>
      <c r="K69" s="48"/>
      <c r="L69" s="48"/>
      <c r="M69" s="48"/>
      <c r="N69" s="48"/>
      <c r="O69" s="9"/>
      <c r="P69" s="206"/>
      <c r="Q69" s="9"/>
      <c r="R69" s="9"/>
      <c r="S69" s="9"/>
      <c r="T69" s="13">
        <v>4141380</v>
      </c>
      <c r="U69" s="49"/>
      <c r="V69" s="48"/>
      <c r="W69" s="48"/>
      <c r="X69" s="48"/>
      <c r="Y69" s="393"/>
      <c r="Z69" s="210"/>
      <c r="AA69" s="48"/>
      <c r="AB69" s="48"/>
      <c r="AC69" s="48"/>
      <c r="AD69" s="210"/>
      <c r="AE69" s="48"/>
      <c r="AF69" s="48">
        <v>4141380</v>
      </c>
      <c r="AG69" s="12">
        <f>SUM(U69:AF69)</f>
        <v>4141380</v>
      </c>
      <c r="AH69" s="124">
        <f t="shared" si="11"/>
        <v>0</v>
      </c>
      <c r="AK69" s="49"/>
      <c r="AL69" s="48"/>
      <c r="AM69" s="48"/>
      <c r="AN69" s="48"/>
      <c r="AO69" s="393"/>
      <c r="AP69" s="210"/>
      <c r="AQ69" s="48"/>
      <c r="AR69" s="48"/>
      <c r="AS69" s="48"/>
      <c r="AT69" s="48"/>
      <c r="AU69" s="48"/>
      <c r="AV69" s="43"/>
      <c r="AW69" s="445">
        <f t="shared" si="9"/>
        <v>0</v>
      </c>
      <c r="AX69" s="431">
        <f t="shared" si="6"/>
        <v>4141380</v>
      </c>
    </row>
    <row r="70" spans="1:50" ht="15">
      <c r="A70" s="573">
        <v>37</v>
      </c>
      <c r="B70" s="568" t="s">
        <v>132</v>
      </c>
      <c r="C70" s="566">
        <v>2244</v>
      </c>
      <c r="D70" s="567">
        <v>11262766</v>
      </c>
      <c r="E70" s="563">
        <f>+D70*0.5</f>
        <v>5631383</v>
      </c>
      <c r="F70" s="564">
        <f>+D70*0.25</f>
        <v>2815691.5</v>
      </c>
      <c r="G70" s="565">
        <f>+D70*0.25</f>
        <v>2815691.5</v>
      </c>
      <c r="H70" s="319">
        <f t="shared" si="7"/>
        <v>11262766</v>
      </c>
      <c r="I70" s="155"/>
      <c r="J70" s="48"/>
      <c r="K70" s="48"/>
      <c r="L70" s="48"/>
      <c r="M70" s="48">
        <v>5631383</v>
      </c>
      <c r="N70" s="48"/>
      <c r="O70" s="9"/>
      <c r="P70" s="206">
        <v>2815691</v>
      </c>
      <c r="Q70" s="9"/>
      <c r="R70" s="9">
        <v>2815692</v>
      </c>
      <c r="S70" s="9"/>
      <c r="T70" s="13"/>
      <c r="U70" s="49"/>
      <c r="V70" s="48"/>
      <c r="W70" s="48"/>
      <c r="X70" s="48"/>
      <c r="Y70" s="393">
        <v>5631383</v>
      </c>
      <c r="Z70" s="210"/>
      <c r="AA70" s="48"/>
      <c r="AB70" s="48"/>
      <c r="AC70" s="48">
        <v>2815691</v>
      </c>
      <c r="AD70" s="210">
        <v>2815692</v>
      </c>
      <c r="AE70" s="48"/>
      <c r="AF70" s="9"/>
      <c r="AG70" s="12">
        <f t="shared" si="10"/>
        <v>11262766</v>
      </c>
      <c r="AH70" s="124">
        <f t="shared" si="11"/>
        <v>0</v>
      </c>
      <c r="AK70" s="49"/>
      <c r="AL70" s="48"/>
      <c r="AM70" s="48"/>
      <c r="AN70" s="48"/>
      <c r="AO70" s="393"/>
      <c r="AP70" s="210"/>
      <c r="AQ70" s="48">
        <v>4000000</v>
      </c>
      <c r="AR70" s="48">
        <v>1000000</v>
      </c>
      <c r="AS70" s="48">
        <v>1000000</v>
      </c>
      <c r="AT70" s="48">
        <v>1000000</v>
      </c>
      <c r="AU70" s="48">
        <v>1000000</v>
      </c>
      <c r="AV70" s="43">
        <v>1000000</v>
      </c>
      <c r="AW70" s="445">
        <f t="shared" si="9"/>
        <v>9000000</v>
      </c>
      <c r="AX70" s="431">
        <f t="shared" si="6"/>
        <v>2262766</v>
      </c>
    </row>
    <row r="71" spans="1:50" ht="15">
      <c r="A71" s="573">
        <v>38</v>
      </c>
      <c r="B71" s="568" t="s">
        <v>129</v>
      </c>
      <c r="C71" s="566">
        <v>2890</v>
      </c>
      <c r="D71" s="567">
        <v>835961</v>
      </c>
      <c r="E71" s="563">
        <f>+D71*E31</f>
        <v>585172.69999999995</v>
      </c>
      <c r="F71" s="564">
        <f>+D71*F31</f>
        <v>250788.3</v>
      </c>
      <c r="G71" s="565"/>
      <c r="H71" s="319">
        <f t="shared" si="7"/>
        <v>835961</v>
      </c>
      <c r="I71" s="155"/>
      <c r="J71" s="48"/>
      <c r="K71" s="48"/>
      <c r="L71" s="48"/>
      <c r="M71" s="48">
        <v>585173</v>
      </c>
      <c r="N71" s="48"/>
      <c r="O71" s="9"/>
      <c r="P71" s="206"/>
      <c r="Q71" s="9"/>
      <c r="R71" s="9"/>
      <c r="S71" s="65">
        <v>250788</v>
      </c>
      <c r="T71" s="13"/>
      <c r="U71" s="49"/>
      <c r="V71" s="48"/>
      <c r="W71" s="48"/>
      <c r="X71" s="48"/>
      <c r="Y71" s="393">
        <v>585173</v>
      </c>
      <c r="Z71" s="210"/>
      <c r="AA71" s="48"/>
      <c r="AB71" s="48"/>
      <c r="AC71" s="48"/>
      <c r="AD71" s="210"/>
      <c r="AE71" s="48">
        <v>250788</v>
      </c>
      <c r="AF71" s="7"/>
      <c r="AG71" s="12">
        <f>SUM(U71:AE71)</f>
        <v>835961</v>
      </c>
      <c r="AH71" s="124">
        <f t="shared" si="11"/>
        <v>0</v>
      </c>
      <c r="AK71" s="49"/>
      <c r="AL71" s="48"/>
      <c r="AM71" s="48"/>
      <c r="AN71" s="48"/>
      <c r="AO71" s="393"/>
      <c r="AP71" s="210"/>
      <c r="AQ71" s="48"/>
      <c r="AR71" s="48"/>
      <c r="AS71" s="48"/>
      <c r="AT71" s="48"/>
      <c r="AU71" s="48"/>
      <c r="AV71" s="43"/>
      <c r="AW71" s="445">
        <f t="shared" si="9"/>
        <v>0</v>
      </c>
      <c r="AX71" s="431">
        <f t="shared" si="6"/>
        <v>835961</v>
      </c>
    </row>
    <row r="72" spans="1:50" ht="15">
      <c r="A72" s="18">
        <v>39</v>
      </c>
      <c r="B72" s="52" t="s">
        <v>133</v>
      </c>
      <c r="C72" s="145"/>
      <c r="D72" s="43"/>
      <c r="E72" s="174"/>
      <c r="F72" s="175"/>
      <c r="G72" s="176"/>
      <c r="H72" s="319">
        <f t="shared" si="7"/>
        <v>0</v>
      </c>
      <c r="I72" s="155"/>
      <c r="J72" s="48"/>
      <c r="K72" s="48"/>
      <c r="L72" s="48"/>
      <c r="M72" s="48"/>
      <c r="N72" s="48"/>
      <c r="O72" s="9"/>
      <c r="P72" s="206"/>
      <c r="Q72" s="9"/>
      <c r="R72" s="9"/>
      <c r="S72" s="9"/>
      <c r="T72" s="13"/>
      <c r="U72" s="49"/>
      <c r="V72" s="48"/>
      <c r="W72" s="48"/>
      <c r="X72" s="48"/>
      <c r="Y72" s="393"/>
      <c r="Z72" s="210"/>
      <c r="AA72" s="48"/>
      <c r="AB72" s="48"/>
      <c r="AC72" s="48"/>
      <c r="AD72" s="210"/>
      <c r="AE72" s="48"/>
      <c r="AF72" s="48"/>
      <c r="AG72" s="12">
        <f t="shared" si="10"/>
        <v>0</v>
      </c>
      <c r="AH72" s="124">
        <f t="shared" si="11"/>
        <v>0</v>
      </c>
      <c r="AK72" s="49"/>
      <c r="AL72" s="48"/>
      <c r="AM72" s="48"/>
      <c r="AN72" s="48"/>
      <c r="AO72" s="393"/>
      <c r="AP72" s="210"/>
      <c r="AQ72" s="48"/>
      <c r="AR72" s="48"/>
      <c r="AS72" s="48"/>
      <c r="AT72" s="48"/>
      <c r="AU72" s="48"/>
      <c r="AV72" s="43"/>
      <c r="AW72" s="445">
        <f t="shared" si="9"/>
        <v>0</v>
      </c>
      <c r="AX72" s="431">
        <f t="shared" si="6"/>
        <v>0</v>
      </c>
    </row>
    <row r="73" spans="1:50" ht="15">
      <c r="A73" s="18">
        <v>40</v>
      </c>
      <c r="B73" s="52" t="s">
        <v>134</v>
      </c>
      <c r="C73" s="145"/>
      <c r="D73" s="43"/>
      <c r="E73" s="174"/>
      <c r="F73" s="175"/>
      <c r="G73" s="176"/>
      <c r="H73" s="319">
        <f t="shared" si="7"/>
        <v>0</v>
      </c>
      <c r="I73" s="155"/>
      <c r="J73" s="48"/>
      <c r="K73" s="48"/>
      <c r="L73" s="48"/>
      <c r="M73" s="48"/>
      <c r="N73" s="48"/>
      <c r="O73" s="9"/>
      <c r="P73" s="206"/>
      <c r="Q73" s="9"/>
      <c r="R73" s="9"/>
      <c r="S73" s="9"/>
      <c r="T73" s="13"/>
      <c r="U73" s="49"/>
      <c r="V73" s="48"/>
      <c r="W73" s="48"/>
      <c r="X73" s="48"/>
      <c r="Y73" s="393"/>
      <c r="Z73" s="210"/>
      <c r="AA73" s="48"/>
      <c r="AB73" s="48"/>
      <c r="AC73" s="48"/>
      <c r="AD73" s="210"/>
      <c r="AE73" s="48"/>
      <c r="AF73" s="48"/>
      <c r="AG73" s="12">
        <f t="shared" si="10"/>
        <v>0</v>
      </c>
      <c r="AH73" s="124">
        <f t="shared" si="11"/>
        <v>0</v>
      </c>
      <c r="AK73" s="49"/>
      <c r="AL73" s="48"/>
      <c r="AM73" s="48"/>
      <c r="AN73" s="48"/>
      <c r="AO73" s="393"/>
      <c r="AP73" s="210"/>
      <c r="AQ73" s="48"/>
      <c r="AR73" s="48"/>
      <c r="AS73" s="48"/>
      <c r="AT73" s="48"/>
      <c r="AU73" s="48"/>
      <c r="AV73" s="43"/>
      <c r="AW73" s="445">
        <f t="shared" si="9"/>
        <v>0</v>
      </c>
      <c r="AX73" s="431">
        <f t="shared" si="6"/>
        <v>0</v>
      </c>
    </row>
    <row r="74" spans="1:50" ht="15">
      <c r="A74" s="18">
        <v>41</v>
      </c>
      <c r="B74" s="52" t="s">
        <v>135</v>
      </c>
      <c r="C74" s="145"/>
      <c r="D74" s="43"/>
      <c r="E74" s="174"/>
      <c r="F74" s="175"/>
      <c r="G74" s="176"/>
      <c r="H74" s="319">
        <f t="shared" si="7"/>
        <v>0</v>
      </c>
      <c r="I74" s="155"/>
      <c r="J74" s="48"/>
      <c r="K74" s="48"/>
      <c r="L74" s="48"/>
      <c r="M74" s="48"/>
      <c r="N74" s="48"/>
      <c r="O74" s="9"/>
      <c r="P74" s="206"/>
      <c r="Q74" s="9"/>
      <c r="R74" s="9"/>
      <c r="S74" s="9"/>
      <c r="T74" s="13"/>
      <c r="U74" s="49"/>
      <c r="V74" s="48"/>
      <c r="W74" s="48"/>
      <c r="X74" s="48"/>
      <c r="Y74" s="393"/>
      <c r="Z74" s="210"/>
      <c r="AA74" s="48"/>
      <c r="AB74" s="48"/>
      <c r="AC74" s="48"/>
      <c r="AD74" s="210"/>
      <c r="AE74" s="48"/>
      <c r="AF74" s="48"/>
      <c r="AG74" s="12">
        <f t="shared" si="10"/>
        <v>0</v>
      </c>
      <c r="AH74" s="124">
        <f t="shared" si="11"/>
        <v>0</v>
      </c>
      <c r="AK74" s="49"/>
      <c r="AL74" s="48"/>
      <c r="AM74" s="48"/>
      <c r="AN74" s="48"/>
      <c r="AO74" s="393"/>
      <c r="AP74" s="210"/>
      <c r="AQ74" s="48"/>
      <c r="AR74" s="48"/>
      <c r="AS74" s="48"/>
      <c r="AT74" s="48"/>
      <c r="AU74" s="48"/>
      <c r="AV74" s="43"/>
      <c r="AW74" s="445">
        <f t="shared" si="9"/>
        <v>0</v>
      </c>
      <c r="AX74" s="431">
        <f t="shared" si="6"/>
        <v>0</v>
      </c>
    </row>
    <row r="75" spans="1:50" ht="15">
      <c r="A75" s="573">
        <v>42</v>
      </c>
      <c r="B75" s="568" t="s">
        <v>171</v>
      </c>
      <c r="C75" s="566">
        <v>3123</v>
      </c>
      <c r="D75" s="567">
        <v>1551011</v>
      </c>
      <c r="E75" s="736" t="s">
        <v>172</v>
      </c>
      <c r="F75" s="737"/>
      <c r="G75" s="738"/>
      <c r="H75" s="319">
        <f t="shared" si="7"/>
        <v>1551011</v>
      </c>
      <c r="I75" s="155"/>
      <c r="J75" s="48"/>
      <c r="K75" s="48"/>
      <c r="L75" s="48"/>
      <c r="M75" s="48"/>
      <c r="N75" s="48">
        <v>1085708</v>
      </c>
      <c r="O75" s="9"/>
      <c r="P75" s="206"/>
      <c r="Q75" s="9">
        <v>465303</v>
      </c>
      <c r="R75" s="9"/>
      <c r="S75" s="9"/>
      <c r="T75" s="13"/>
      <c r="U75" s="49"/>
      <c r="V75" s="48"/>
      <c r="W75" s="48"/>
      <c r="X75" s="48"/>
      <c r="Y75" s="48"/>
      <c r="Z75" s="210"/>
      <c r="AA75" s="48"/>
      <c r="AB75" s="48"/>
      <c r="AC75" s="48"/>
      <c r="AD75" s="210"/>
      <c r="AE75" s="48"/>
      <c r="AF75" s="48"/>
      <c r="AG75" s="12">
        <f t="shared" ref="AG75:AG82" si="12">SUM(U75:AF75)</f>
        <v>0</v>
      </c>
      <c r="AH75" s="124">
        <f t="shared" si="11"/>
        <v>1551011</v>
      </c>
      <c r="AK75" s="49"/>
      <c r="AL75" s="48"/>
      <c r="AM75" s="48"/>
      <c r="AN75" s="48"/>
      <c r="AO75" s="48"/>
      <c r="AP75" s="210"/>
      <c r="AQ75" s="48"/>
      <c r="AR75" s="48"/>
      <c r="AS75" s="48"/>
      <c r="AT75" s="48"/>
      <c r="AU75" s="48"/>
      <c r="AV75" s="43"/>
      <c r="AW75" s="445">
        <f t="shared" ref="AW75:AW82" si="13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6">
        <v>3124</v>
      </c>
      <c r="D76" s="567">
        <v>3047100</v>
      </c>
      <c r="E76" s="736" t="s">
        <v>172</v>
      </c>
      <c r="F76" s="737"/>
      <c r="G76" s="738"/>
      <c r="H76" s="319">
        <f t="shared" si="7"/>
        <v>3047100</v>
      </c>
      <c r="I76" s="155"/>
      <c r="J76" s="48"/>
      <c r="K76" s="48"/>
      <c r="L76" s="48"/>
      <c r="M76" s="48"/>
      <c r="N76" s="48">
        <v>2132970</v>
      </c>
      <c r="O76" s="9"/>
      <c r="P76" s="206"/>
      <c r="Q76" s="9"/>
      <c r="R76" s="9"/>
      <c r="S76" s="9">
        <v>914130</v>
      </c>
      <c r="T76" s="13"/>
      <c r="U76" s="49"/>
      <c r="V76" s="48"/>
      <c r="W76" s="48"/>
      <c r="X76" s="48"/>
      <c r="Y76" s="48"/>
      <c r="Z76" s="210"/>
      <c r="AA76" s="48"/>
      <c r="AB76" s="48"/>
      <c r="AC76" s="48"/>
      <c r="AD76" s="210"/>
      <c r="AE76" s="48"/>
      <c r="AF76" s="48"/>
      <c r="AG76" s="12">
        <f t="shared" si="12"/>
        <v>0</v>
      </c>
      <c r="AH76" s="124">
        <f t="shared" si="11"/>
        <v>3047100</v>
      </c>
      <c r="AK76" s="49"/>
      <c r="AL76" s="48"/>
      <c r="AM76" s="48"/>
      <c r="AN76" s="48"/>
      <c r="AO76" s="48"/>
      <c r="AP76" s="210"/>
      <c r="AQ76" s="48"/>
      <c r="AR76" s="48"/>
      <c r="AS76" s="48"/>
      <c r="AT76" s="48"/>
      <c r="AU76" s="48"/>
      <c r="AV76" s="43"/>
      <c r="AW76" s="445">
        <f t="shared" si="13"/>
        <v>0</v>
      </c>
      <c r="AX76" s="431">
        <f t="shared" si="6"/>
        <v>0</v>
      </c>
    </row>
    <row r="77" spans="1:50" ht="15">
      <c r="A77" s="18">
        <v>44</v>
      </c>
      <c r="B77" s="52" t="s">
        <v>188</v>
      </c>
      <c r="C77" s="145"/>
      <c r="D77" s="43"/>
      <c r="E77" s="479"/>
      <c r="F77" s="480"/>
      <c r="G77" s="480"/>
      <c r="H77" s="319">
        <f t="shared" si="7"/>
        <v>0</v>
      </c>
      <c r="I77" s="155"/>
      <c r="J77" s="48"/>
      <c r="K77" s="48"/>
      <c r="L77" s="48"/>
      <c r="M77" s="48"/>
      <c r="N77" s="48"/>
      <c r="O77" s="9"/>
      <c r="P77" s="206"/>
      <c r="Q77" s="9"/>
      <c r="R77" s="9"/>
      <c r="S77" s="9"/>
      <c r="T77" s="13"/>
      <c r="U77" s="49"/>
      <c r="V77" s="48"/>
      <c r="W77" s="48"/>
      <c r="X77" s="48"/>
      <c r="Y77" s="48"/>
      <c r="Z77" s="210"/>
      <c r="AA77" s="48"/>
      <c r="AB77" s="48"/>
      <c r="AC77" s="48"/>
      <c r="AD77" s="210"/>
      <c r="AE77" s="48"/>
      <c r="AF77" s="48"/>
      <c r="AG77" s="12">
        <f t="shared" si="12"/>
        <v>0</v>
      </c>
      <c r="AH77" s="124">
        <f t="shared" si="11"/>
        <v>0</v>
      </c>
      <c r="AK77" s="49"/>
      <c r="AL77" s="48"/>
      <c r="AM77" s="48"/>
      <c r="AN77" s="48"/>
      <c r="AO77" s="48"/>
      <c r="AP77" s="210"/>
      <c r="AQ77" s="48"/>
      <c r="AR77" s="48"/>
      <c r="AS77" s="48"/>
      <c r="AT77" s="48"/>
      <c r="AU77" s="48"/>
      <c r="AV77" s="43"/>
      <c r="AW77" s="445">
        <f t="shared" si="13"/>
        <v>0</v>
      </c>
      <c r="AX77" s="431">
        <f t="shared" si="6"/>
        <v>0</v>
      </c>
    </row>
    <row r="78" spans="1:50" ht="15">
      <c r="A78" s="18">
        <v>45</v>
      </c>
      <c r="B78" s="52" t="s">
        <v>189</v>
      </c>
      <c r="C78" s="145"/>
      <c r="D78" s="43"/>
      <c r="E78" s="720" t="s">
        <v>172</v>
      </c>
      <c r="F78" s="721"/>
      <c r="G78" s="722"/>
      <c r="H78" s="319">
        <f t="shared" si="7"/>
        <v>0</v>
      </c>
      <c r="I78" s="155"/>
      <c r="J78" s="48"/>
      <c r="K78" s="48"/>
      <c r="L78" s="48"/>
      <c r="M78" s="48"/>
      <c r="N78" s="48"/>
      <c r="O78" s="9"/>
      <c r="P78" s="206"/>
      <c r="Q78" s="9"/>
      <c r="R78" s="9"/>
      <c r="S78" s="9"/>
      <c r="T78" s="13"/>
      <c r="U78" s="49"/>
      <c r="V78" s="48"/>
      <c r="W78" s="48"/>
      <c r="X78" s="48"/>
      <c r="Y78" s="48"/>
      <c r="Z78" s="210"/>
      <c r="AA78" s="48"/>
      <c r="AB78" s="48"/>
      <c r="AC78" s="48"/>
      <c r="AD78" s="210"/>
      <c r="AE78" s="48"/>
      <c r="AF78" s="48"/>
      <c r="AG78" s="12">
        <f t="shared" si="12"/>
        <v>0</v>
      </c>
      <c r="AH78" s="124">
        <f t="shared" si="11"/>
        <v>0</v>
      </c>
      <c r="AK78" s="49"/>
      <c r="AL78" s="48"/>
      <c r="AM78" s="48"/>
      <c r="AN78" s="48"/>
      <c r="AO78" s="48"/>
      <c r="AP78" s="210"/>
      <c r="AQ78" s="48"/>
      <c r="AR78" s="48"/>
      <c r="AS78" s="48"/>
      <c r="AT78" s="48"/>
      <c r="AU78" s="48"/>
      <c r="AV78" s="43"/>
      <c r="AW78" s="445">
        <f t="shared" si="13"/>
        <v>0</v>
      </c>
      <c r="AX78" s="431">
        <f>+AG78-AW78</f>
        <v>0</v>
      </c>
    </row>
    <row r="79" spans="1:50" ht="15">
      <c r="A79" s="18"/>
      <c r="B79" s="52" t="s">
        <v>205</v>
      </c>
      <c r="C79" s="145" t="s">
        <v>281</v>
      </c>
      <c r="D79" s="43"/>
      <c r="E79" s="479"/>
      <c r="F79" s="480"/>
      <c r="G79" s="480"/>
      <c r="H79" s="319">
        <f t="shared" si="7"/>
        <v>0</v>
      </c>
      <c r="I79" s="155"/>
      <c r="J79" s="48"/>
      <c r="K79" s="48"/>
      <c r="L79" s="48"/>
      <c r="M79" s="48"/>
      <c r="N79" s="48"/>
      <c r="O79" s="9"/>
      <c r="P79" s="206"/>
      <c r="Q79" s="9"/>
      <c r="R79" s="9"/>
      <c r="S79" s="9"/>
      <c r="T79" s="13"/>
      <c r="U79" s="49"/>
      <c r="V79" s="48"/>
      <c r="W79" s="48"/>
      <c r="X79" s="48"/>
      <c r="Y79" s="48"/>
      <c r="Z79" s="210"/>
      <c r="AA79" s="48"/>
      <c r="AB79" s="48"/>
      <c r="AC79" s="48"/>
      <c r="AD79" s="210"/>
      <c r="AE79" s="48"/>
      <c r="AF79" s="48"/>
      <c r="AG79" s="12">
        <f t="shared" si="12"/>
        <v>0</v>
      </c>
      <c r="AH79" s="124">
        <f t="shared" si="11"/>
        <v>0</v>
      </c>
      <c r="AK79" s="49"/>
      <c r="AL79" s="48"/>
      <c r="AM79" s="48"/>
      <c r="AN79" s="48"/>
      <c r="AO79" s="48"/>
      <c r="AP79" s="210"/>
      <c r="AQ79" s="48"/>
      <c r="AR79" s="48"/>
      <c r="AS79" s="48"/>
      <c r="AT79" s="48">
        <v>22130311</v>
      </c>
      <c r="AU79" s="48"/>
      <c r="AV79" s="43">
        <v>22130311</v>
      </c>
      <c r="AW79" s="445">
        <f t="shared" si="13"/>
        <v>44260622</v>
      </c>
      <c r="AX79" s="431">
        <f>+AG79-AW79</f>
        <v>-44260622</v>
      </c>
    </row>
    <row r="80" spans="1:50" ht="15">
      <c r="A80" s="18">
        <v>46</v>
      </c>
      <c r="B80" s="52" t="s">
        <v>105</v>
      </c>
      <c r="C80" s="145"/>
      <c r="D80" s="43"/>
      <c r="E80" s="174"/>
      <c r="F80" s="175"/>
      <c r="G80" s="176">
        <f>+D75-H75</f>
        <v>0</v>
      </c>
      <c r="H80" s="319">
        <f t="shared" si="7"/>
        <v>0</v>
      </c>
      <c r="I80" s="155"/>
      <c r="J80" s="48"/>
      <c r="K80" s="48"/>
      <c r="L80" s="48"/>
      <c r="M80" s="48"/>
      <c r="N80" s="48"/>
      <c r="O80" s="9"/>
      <c r="P80" s="206"/>
      <c r="Q80" s="9"/>
      <c r="R80" s="9"/>
      <c r="S80" s="9"/>
      <c r="T80" s="13"/>
      <c r="U80" s="49"/>
      <c r="V80" s="48"/>
      <c r="W80" s="48"/>
      <c r="X80" s="48"/>
      <c r="Y80" s="48"/>
      <c r="Z80" s="210"/>
      <c r="AA80" s="48"/>
      <c r="AB80" s="48"/>
      <c r="AC80" s="48"/>
      <c r="AD80" s="210"/>
      <c r="AE80" s="48"/>
      <c r="AF80" s="48"/>
      <c r="AG80" s="12">
        <f t="shared" si="12"/>
        <v>0</v>
      </c>
      <c r="AH80" s="124">
        <f t="shared" si="11"/>
        <v>0</v>
      </c>
      <c r="AK80" s="49"/>
      <c r="AL80" s="48"/>
      <c r="AM80" s="48"/>
      <c r="AN80" s="48"/>
      <c r="AO80" s="48"/>
      <c r="AP80" s="210"/>
      <c r="AQ80" s="48"/>
      <c r="AR80" s="48"/>
      <c r="AS80" s="48"/>
      <c r="AT80" s="48"/>
      <c r="AU80" s="48"/>
      <c r="AV80" s="43"/>
      <c r="AW80" s="445">
        <f t="shared" si="13"/>
        <v>0</v>
      </c>
      <c r="AX80" s="431">
        <f>+AG80-AW80</f>
        <v>0</v>
      </c>
    </row>
    <row r="81" spans="1:50" ht="15">
      <c r="A81" s="500"/>
      <c r="B81" s="52" t="s">
        <v>209</v>
      </c>
      <c r="C81" s="145"/>
      <c r="D81" s="43"/>
      <c r="E81" s="174"/>
      <c r="F81" s="175"/>
      <c r="G81" s="176"/>
      <c r="H81" s="319">
        <f t="shared" si="7"/>
        <v>0</v>
      </c>
      <c r="I81" s="155"/>
      <c r="J81" s="48"/>
      <c r="K81" s="48"/>
      <c r="L81" s="48"/>
      <c r="M81" s="48"/>
      <c r="N81" s="48"/>
      <c r="O81" s="9"/>
      <c r="P81" s="206"/>
      <c r="Q81" s="9"/>
      <c r="R81" s="9"/>
      <c r="S81" s="9"/>
      <c r="T81" s="13"/>
      <c r="U81" s="49"/>
      <c r="V81" s="48"/>
      <c r="W81" s="48"/>
      <c r="X81" s="48"/>
      <c r="Y81" s="48"/>
      <c r="Z81" s="210"/>
      <c r="AA81" s="48"/>
      <c r="AB81" s="48"/>
      <c r="AC81" s="48"/>
      <c r="AD81" s="210"/>
      <c r="AE81" s="48"/>
      <c r="AF81" s="48"/>
      <c r="AG81" s="12">
        <f t="shared" si="12"/>
        <v>0</v>
      </c>
      <c r="AH81" s="124">
        <f>+H81-AG81</f>
        <v>0</v>
      </c>
      <c r="AK81" s="49"/>
      <c r="AL81" s="48"/>
      <c r="AM81" s="48"/>
      <c r="AN81" s="48"/>
      <c r="AO81" s="48"/>
      <c r="AP81" s="210"/>
      <c r="AQ81" s="48"/>
      <c r="AR81" s="48"/>
      <c r="AS81" s="48"/>
      <c r="AT81" s="48"/>
      <c r="AU81" s="48"/>
      <c r="AV81" s="43"/>
      <c r="AW81" s="445">
        <f t="shared" si="13"/>
        <v>0</v>
      </c>
      <c r="AX81" s="431">
        <f>+AG81-AW81</f>
        <v>0</v>
      </c>
    </row>
    <row r="82" spans="1:50" ht="15.75" thickBot="1">
      <c r="A82" s="145"/>
      <c r="B82" s="52"/>
      <c r="C82" s="145"/>
      <c r="D82" s="43"/>
      <c r="E82" s="174"/>
      <c r="F82" s="175"/>
      <c r="G82" s="176"/>
      <c r="H82" s="319">
        <f t="shared" si="7"/>
        <v>0</v>
      </c>
      <c r="I82" s="155"/>
      <c r="J82" s="48"/>
      <c r="K82" s="48"/>
      <c r="L82" s="48"/>
      <c r="M82" s="48"/>
      <c r="N82" s="48"/>
      <c r="O82" s="9"/>
      <c r="P82" s="206"/>
      <c r="Q82" s="9"/>
      <c r="R82" s="9"/>
      <c r="S82" s="9"/>
      <c r="T82" s="13"/>
      <c r="U82" s="49"/>
      <c r="V82" s="48"/>
      <c r="W82" s="48"/>
      <c r="X82" s="48"/>
      <c r="Y82" s="48"/>
      <c r="Z82" s="210"/>
      <c r="AA82" s="48"/>
      <c r="AB82" s="48"/>
      <c r="AC82" s="48"/>
      <c r="AD82" s="210"/>
      <c r="AE82" s="48"/>
      <c r="AF82" s="48"/>
      <c r="AG82" s="12">
        <f t="shared" si="12"/>
        <v>0</v>
      </c>
      <c r="AH82" s="124">
        <f>+H82-AG82</f>
        <v>0</v>
      </c>
      <c r="AK82" s="49"/>
      <c r="AL82" s="48"/>
      <c r="AM82" s="48"/>
      <c r="AN82" s="48"/>
      <c r="AO82" s="48"/>
      <c r="AP82" s="210"/>
      <c r="AQ82" s="48"/>
      <c r="AR82" s="48"/>
      <c r="AS82" s="48"/>
      <c r="AT82" s="48"/>
      <c r="AU82" s="48"/>
      <c r="AV82" s="43"/>
      <c r="AW82" s="445">
        <f t="shared" si="13"/>
        <v>0</v>
      </c>
      <c r="AX82" s="431">
        <f>+AG82-AW82</f>
        <v>0</v>
      </c>
    </row>
    <row r="83" spans="1:50" ht="15.75" thickBot="1">
      <c r="A83" s="739" t="s">
        <v>93</v>
      </c>
      <c r="B83" s="740"/>
      <c r="C83" s="741"/>
      <c r="D83" s="85">
        <f>SUM(D34:D80)</f>
        <v>291808658</v>
      </c>
      <c r="E83" s="86"/>
      <c r="F83" s="87"/>
      <c r="G83" s="88"/>
      <c r="H83" s="333">
        <f t="shared" ref="H83:AG83" si="14">SUM(H34:H82)</f>
        <v>293601733.60000002</v>
      </c>
      <c r="I83" s="116">
        <f t="shared" si="14"/>
        <v>0</v>
      </c>
      <c r="J83" s="117">
        <f t="shared" si="14"/>
        <v>0</v>
      </c>
      <c r="K83" s="180">
        <f t="shared" si="14"/>
        <v>72159009.200000003</v>
      </c>
      <c r="L83" s="329">
        <f t="shared" si="14"/>
        <v>57834160.299999997</v>
      </c>
      <c r="M83" s="117">
        <f t="shared" si="14"/>
        <v>47427866</v>
      </c>
      <c r="N83" s="117">
        <f t="shared" si="14"/>
        <v>3218678</v>
      </c>
      <c r="O83" s="117">
        <f t="shared" si="14"/>
        <v>0</v>
      </c>
      <c r="P83" s="256">
        <f t="shared" si="14"/>
        <v>15038391</v>
      </c>
      <c r="Q83" s="117">
        <f t="shared" si="14"/>
        <v>465303</v>
      </c>
      <c r="R83" s="117">
        <f t="shared" si="14"/>
        <v>73121142.400000006</v>
      </c>
      <c r="S83" s="117">
        <f t="shared" si="14"/>
        <v>18402727.700000003</v>
      </c>
      <c r="T83" s="117">
        <f t="shared" si="14"/>
        <v>5934456</v>
      </c>
      <c r="U83" s="115">
        <f t="shared" si="14"/>
        <v>0</v>
      </c>
      <c r="V83" s="115">
        <f t="shared" si="14"/>
        <v>0</v>
      </c>
      <c r="W83" s="115">
        <f t="shared" si="14"/>
        <v>72159009.400000006</v>
      </c>
      <c r="X83" s="115">
        <f t="shared" si="14"/>
        <v>57834160.299999997</v>
      </c>
      <c r="Y83" s="115">
        <f t="shared" si="14"/>
        <v>47427866</v>
      </c>
      <c r="Z83" s="241">
        <f t="shared" si="14"/>
        <v>0</v>
      </c>
      <c r="AA83" s="115">
        <f t="shared" si="14"/>
        <v>0</v>
      </c>
      <c r="AB83" s="115">
        <f t="shared" si="14"/>
        <v>12222700</v>
      </c>
      <c r="AC83" s="115">
        <f t="shared" si="14"/>
        <v>2815691</v>
      </c>
      <c r="AD83" s="241">
        <f t="shared" si="14"/>
        <v>68076472.599999994</v>
      </c>
      <c r="AE83" s="115">
        <f t="shared" si="14"/>
        <v>22533267.700000003</v>
      </c>
      <c r="AF83" s="115">
        <f t="shared" si="14"/>
        <v>4141380</v>
      </c>
      <c r="AG83" s="115">
        <f t="shared" si="14"/>
        <v>287210547</v>
      </c>
      <c r="AH83" s="122">
        <f>+H83-AG83</f>
        <v>6391186.6000000238</v>
      </c>
      <c r="AK83" s="424">
        <f t="shared" ref="AK83:AX83" si="15">SUM(AK34:AK82)</f>
        <v>0</v>
      </c>
      <c r="AL83" s="424">
        <f t="shared" si="15"/>
        <v>0</v>
      </c>
      <c r="AM83" s="424">
        <f t="shared" si="15"/>
        <v>0</v>
      </c>
      <c r="AN83" s="424">
        <f t="shared" si="15"/>
        <v>0</v>
      </c>
      <c r="AO83" s="424">
        <f t="shared" si="15"/>
        <v>16795109</v>
      </c>
      <c r="AP83" s="425">
        <f t="shared" si="15"/>
        <v>0</v>
      </c>
      <c r="AQ83" s="424">
        <f t="shared" si="15"/>
        <v>61851893</v>
      </c>
      <c r="AR83" s="424">
        <f t="shared" si="15"/>
        <v>12910278</v>
      </c>
      <c r="AS83" s="424">
        <f t="shared" si="15"/>
        <v>12933479</v>
      </c>
      <c r="AT83" s="424">
        <f t="shared" si="15"/>
        <v>35317935</v>
      </c>
      <c r="AU83" s="424">
        <f t="shared" si="15"/>
        <v>33388141</v>
      </c>
      <c r="AV83" s="433">
        <f t="shared" si="15"/>
        <v>37203255</v>
      </c>
      <c r="AW83" s="447">
        <f t="shared" si="15"/>
        <v>210400090</v>
      </c>
      <c r="AX83" s="428">
        <f t="shared" si="15"/>
        <v>76810457</v>
      </c>
    </row>
    <row r="84" spans="1:50" ht="15.75" thickBot="1">
      <c r="Q84" s="718" t="s">
        <v>146</v>
      </c>
      <c r="R84" s="719"/>
      <c r="S84" s="719"/>
      <c r="T84" s="719"/>
      <c r="U84" s="394">
        <v>3449531</v>
      </c>
      <c r="V84" s="394">
        <v>3449532</v>
      </c>
      <c r="W84" s="394">
        <v>3449533</v>
      </c>
      <c r="X84" s="394">
        <v>3449536</v>
      </c>
      <c r="Y84" s="394">
        <v>3452129</v>
      </c>
      <c r="Z84" s="477">
        <v>3467815</v>
      </c>
      <c r="AA84" s="496">
        <v>3479937</v>
      </c>
      <c r="AB84" s="394">
        <v>3491816</v>
      </c>
      <c r="AC84" s="394">
        <v>3510143</v>
      </c>
      <c r="AD84" s="477">
        <v>3513768</v>
      </c>
      <c r="AE84" s="394"/>
      <c r="AF84" s="394"/>
    </row>
    <row r="85" spans="1:50" ht="15.75" thickBot="1">
      <c r="A85" s="728" t="s">
        <v>94</v>
      </c>
      <c r="B85" s="729"/>
      <c r="C85" s="730"/>
      <c r="D85" s="126">
        <f>+D83+D30</f>
        <v>1068608426</v>
      </c>
      <c r="E85" s="127"/>
      <c r="F85" s="128"/>
      <c r="G85" s="128"/>
      <c r="H85" s="129">
        <f>+H30</f>
        <v>853420541.75</v>
      </c>
      <c r="I85" s="130">
        <f t="shared" ref="I85:AH85" si="16">+I83+I30</f>
        <v>64733314</v>
      </c>
      <c r="J85" s="130">
        <f t="shared" si="16"/>
        <v>64747982</v>
      </c>
      <c r="K85" s="130">
        <f t="shared" si="16"/>
        <v>136899656.94999999</v>
      </c>
      <c r="L85" s="130">
        <f t="shared" si="16"/>
        <v>141529455.30000001</v>
      </c>
      <c r="M85" s="130">
        <f t="shared" si="16"/>
        <v>112168514</v>
      </c>
      <c r="N85" s="130">
        <f t="shared" si="16"/>
        <v>87268807</v>
      </c>
      <c r="O85" s="130">
        <f t="shared" si="16"/>
        <v>64740648</v>
      </c>
      <c r="P85" s="215">
        <f t="shared" si="16"/>
        <v>79779039</v>
      </c>
      <c r="Q85" s="130">
        <f t="shared" si="16"/>
        <v>84338015</v>
      </c>
      <c r="R85" s="130">
        <f t="shared" si="16"/>
        <v>137861790.40000001</v>
      </c>
      <c r="S85" s="130">
        <f t="shared" si="16"/>
        <v>83143375.700000003</v>
      </c>
      <c r="T85" s="131">
        <f t="shared" si="16"/>
        <v>89811678</v>
      </c>
      <c r="U85" s="129">
        <f t="shared" si="16"/>
        <v>64733314</v>
      </c>
      <c r="V85" s="130">
        <f t="shared" si="16"/>
        <v>64747982</v>
      </c>
      <c r="W85" s="284">
        <f t="shared" si="16"/>
        <v>136899657.40000001</v>
      </c>
      <c r="X85" s="129">
        <f t="shared" si="16"/>
        <v>141529455.30000001</v>
      </c>
      <c r="Y85" s="130">
        <f t="shared" si="16"/>
        <v>112168514</v>
      </c>
      <c r="Z85" s="285">
        <f t="shared" si="16"/>
        <v>84050129</v>
      </c>
      <c r="AA85" s="129">
        <f t="shared" si="16"/>
        <v>64740648</v>
      </c>
      <c r="AB85" s="130">
        <f t="shared" si="16"/>
        <v>76963348</v>
      </c>
      <c r="AC85" s="284">
        <f t="shared" si="16"/>
        <v>86688403</v>
      </c>
      <c r="AD85" s="242">
        <f t="shared" si="16"/>
        <v>132817120.59999999</v>
      </c>
      <c r="AE85" s="130">
        <f t="shared" si="16"/>
        <v>87273915.700000003</v>
      </c>
      <c r="AF85" s="284">
        <f t="shared" si="16"/>
        <v>88018602</v>
      </c>
      <c r="AG85" s="281">
        <f t="shared" si="16"/>
        <v>1140631089</v>
      </c>
      <c r="AH85" s="132">
        <f t="shared" si="16"/>
        <v>6391186.3500000238</v>
      </c>
      <c r="AQ85" s="170">
        <f>+AQ83+AR83+AS83</f>
        <v>87695650</v>
      </c>
      <c r="AW85" s="207">
        <v>121085949</v>
      </c>
      <c r="AX85" s="170">
        <f>+AW85-AX83</f>
        <v>44275492</v>
      </c>
    </row>
    <row r="87" spans="1:50" ht="15" thickBot="1">
      <c r="D87" s="1"/>
      <c r="E87" s="1"/>
      <c r="F87" s="1"/>
      <c r="G87" s="1"/>
      <c r="Y87" s="207">
        <v>112168514</v>
      </c>
    </row>
    <row r="88" spans="1:50" ht="15.75" thickBot="1">
      <c r="A88" s="272"/>
      <c r="B88" s="725" t="s">
        <v>118</v>
      </c>
      <c r="C88" s="726"/>
      <c r="D88" s="727"/>
      <c r="Y88" s="170">
        <f>+Y87-Y85</f>
        <v>0</v>
      </c>
    </row>
    <row r="89" spans="1:50">
      <c r="A89" s="274" t="s">
        <v>119</v>
      </c>
      <c r="B89" s="708" t="s">
        <v>123</v>
      </c>
      <c r="C89" s="709"/>
      <c r="D89" s="306">
        <f>+U85+V85+W85</f>
        <v>266380953.40000001</v>
      </c>
      <c r="E89" s="1"/>
      <c r="F89" s="1"/>
      <c r="G89" s="1"/>
    </row>
    <row r="90" spans="1:50">
      <c r="A90" s="276" t="s">
        <v>120</v>
      </c>
      <c r="B90" s="706" t="s">
        <v>124</v>
      </c>
      <c r="C90" s="707"/>
      <c r="D90" s="307">
        <f>+X85+Y85+Z85</f>
        <v>337748098.30000001</v>
      </c>
      <c r="E90" s="1"/>
      <c r="F90" s="1"/>
      <c r="G90" s="1"/>
    </row>
    <row r="91" spans="1:50">
      <c r="A91" s="276" t="s">
        <v>121</v>
      </c>
      <c r="B91" s="706" t="s">
        <v>125</v>
      </c>
      <c r="C91" s="707"/>
      <c r="D91" s="307">
        <f>+AA85+AB85+AC85</f>
        <v>228392399</v>
      </c>
      <c r="E91" s="505"/>
      <c r="F91" s="506"/>
      <c r="G91" s="1"/>
    </row>
    <row r="92" spans="1:50" ht="15" thickBot="1">
      <c r="A92" s="278" t="s">
        <v>122</v>
      </c>
      <c r="B92" s="704" t="s">
        <v>126</v>
      </c>
      <c r="C92" s="705"/>
      <c r="D92" s="308">
        <f>+AD85+AE85+AF85</f>
        <v>308109638.30000001</v>
      </c>
      <c r="E92" s="1"/>
      <c r="F92" s="1"/>
      <c r="G92" s="1"/>
    </row>
    <row r="93" spans="1:50" ht="15.75" customHeight="1" thickBot="1">
      <c r="A93" s="723" t="s">
        <v>117</v>
      </c>
      <c r="B93" s="724"/>
      <c r="C93" s="724"/>
      <c r="D93" s="309">
        <f>SUM(D89:D92)</f>
        <v>1140631089</v>
      </c>
      <c r="E93" s="1"/>
      <c r="F93" s="1"/>
      <c r="G93" s="1"/>
    </row>
    <row r="94" spans="1:50">
      <c r="E94" s="1"/>
      <c r="F94" s="1"/>
      <c r="G94" s="1"/>
    </row>
    <row r="95" spans="1:50">
      <c r="E95" s="1"/>
      <c r="F95" s="1"/>
      <c r="G95" s="1"/>
    </row>
    <row r="96" spans="1:50">
      <c r="E96" s="1"/>
      <c r="F96" s="1"/>
      <c r="G96" s="1"/>
    </row>
    <row r="97" spans="2:7" ht="15">
      <c r="B97" s="509" t="s">
        <v>234</v>
      </c>
      <c r="E97" s="1"/>
      <c r="F97" s="1"/>
      <c r="G97" s="1"/>
    </row>
    <row r="98" spans="2:7">
      <c r="B98" s="700" t="s">
        <v>235</v>
      </c>
      <c r="C98" s="700"/>
      <c r="D98" s="700"/>
      <c r="E98" s="700"/>
      <c r="F98" s="1"/>
      <c r="G98" s="1"/>
    </row>
    <row r="99" spans="2:7">
      <c r="B99" s="700"/>
      <c r="C99" s="700"/>
      <c r="D99" s="700"/>
      <c r="E99" s="700"/>
      <c r="F99" s="1"/>
      <c r="G99" s="1"/>
    </row>
    <row r="100" spans="2:7">
      <c r="B100" s="700"/>
      <c r="C100" s="700"/>
      <c r="D100" s="700"/>
      <c r="E100" s="700"/>
      <c r="F100" s="1"/>
      <c r="G100" s="1"/>
    </row>
    <row r="101" spans="2:7">
      <c r="E101" s="1"/>
      <c r="F101" s="1"/>
      <c r="G101" s="1"/>
    </row>
    <row r="102" spans="2:7">
      <c r="E102" s="1"/>
      <c r="F102" s="1"/>
      <c r="G102" s="1"/>
    </row>
    <row r="103" spans="2:7" ht="15">
      <c r="B103" s="515" t="s">
        <v>236</v>
      </c>
      <c r="C103" s="514">
        <v>2815691</v>
      </c>
      <c r="E103" s="1"/>
      <c r="F103" s="1"/>
      <c r="G103" s="1"/>
    </row>
    <row r="104" spans="2:7">
      <c r="C104" s="473">
        <f>+C103</f>
        <v>2815691</v>
      </c>
      <c r="E104" s="1"/>
      <c r="F104" s="1"/>
      <c r="G104" s="1"/>
    </row>
    <row r="105" spans="2:7">
      <c r="E105" s="1"/>
      <c r="F105" s="1"/>
      <c r="G105" s="1"/>
    </row>
    <row r="106" spans="2:7">
      <c r="E106" s="1"/>
      <c r="F106" s="1"/>
      <c r="G106" s="1"/>
    </row>
    <row r="107" spans="2:7">
      <c r="E107" s="1"/>
      <c r="F107" s="1"/>
      <c r="G107" s="1"/>
    </row>
  </sheetData>
  <autoFilter ref="A33:AI85" xr:uid="{00000000-0009-0000-0000-000000000000}"/>
  <mergeCells count="24">
    <mergeCell ref="A83:C83"/>
    <mergeCell ref="E75:G75"/>
    <mergeCell ref="H5:AD7"/>
    <mergeCell ref="A30:B30"/>
    <mergeCell ref="B14:D14"/>
    <mergeCell ref="H14:T14"/>
    <mergeCell ref="U14:AG14"/>
    <mergeCell ref="E14:G14"/>
    <mergeCell ref="B98:E100"/>
    <mergeCell ref="AK32:AV32"/>
    <mergeCell ref="B92:C92"/>
    <mergeCell ref="B91:C91"/>
    <mergeCell ref="B90:C90"/>
    <mergeCell ref="B89:C89"/>
    <mergeCell ref="H32:T32"/>
    <mergeCell ref="U32:AG32"/>
    <mergeCell ref="Q84:T84"/>
    <mergeCell ref="E78:G78"/>
    <mergeCell ref="A93:C93"/>
    <mergeCell ref="B88:D88"/>
    <mergeCell ref="A85:C85"/>
    <mergeCell ref="B32:D32"/>
    <mergeCell ref="E32:G32"/>
    <mergeCell ref="E76:G76"/>
  </mergeCells>
  <conditionalFormatting sqref="AN22">
    <cfRule type="cellIs" dxfId="0" priority="1" operator="greaterThan">
      <formula>$AG$34</formula>
    </cfRule>
  </conditionalFormatting>
  <pageMargins left="0.7" right="0.7" top="0.75" bottom="0.75" header="0.3" footer="0.3"/>
  <pageSetup orientation="portrait" r:id="rId1"/>
  <ignoredErrors>
    <ignoredError sqref="H24:H26 H17:H21" formulaRange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AX104"/>
  <sheetViews>
    <sheetView topLeftCell="D41" zoomScale="70" zoomScaleNormal="70" workbookViewId="0">
      <selection activeCell="A48" sqref="A48:XFD48"/>
    </sheetView>
  </sheetViews>
  <sheetFormatPr baseColWidth="10" defaultRowHeight="14.25"/>
  <cols>
    <col min="1" max="1" width="4.85546875" style="1" customWidth="1"/>
    <col min="2" max="2" width="76.7109375" style="1" bestFit="1" customWidth="1"/>
    <col min="3" max="3" width="30.28515625" style="1" customWidth="1"/>
    <col min="4" max="4" width="22.7109375" style="6" customWidth="1"/>
    <col min="5" max="5" width="15.85546875" style="4" customWidth="1"/>
    <col min="6" max="6" width="15.140625" style="4" customWidth="1"/>
    <col min="7" max="7" width="16.140625" style="4" customWidth="1"/>
    <col min="8" max="8" width="20.85546875" style="1" customWidth="1"/>
    <col min="9" max="9" width="15.5703125" style="1" hidden="1" customWidth="1"/>
    <col min="10" max="10" width="18.28515625" style="1" hidden="1" customWidth="1"/>
    <col min="11" max="11" width="17.85546875" style="1" hidden="1" customWidth="1"/>
    <col min="12" max="12" width="15.28515625" style="207" hidden="1" customWidth="1"/>
    <col min="13" max="13" width="15.7109375" style="1" hidden="1" customWidth="1"/>
    <col min="14" max="15" width="18" style="1" hidden="1" customWidth="1"/>
    <col min="16" max="16" width="16.28515625" style="207" hidden="1" customWidth="1"/>
    <col min="17" max="17" width="19.42578125" style="1" hidden="1" customWidth="1"/>
    <col min="18" max="18" width="19" style="1" hidden="1" customWidth="1"/>
    <col min="19" max="19" width="18" style="1" customWidth="1"/>
    <col min="20" max="20" width="16.85546875" style="1" customWidth="1"/>
    <col min="21" max="21" width="18" style="1" hidden="1" customWidth="1"/>
    <col min="22" max="22" width="16.28515625" style="207" hidden="1" customWidth="1"/>
    <col min="23" max="24" width="17.28515625" style="207" hidden="1" customWidth="1"/>
    <col min="25" max="28" width="16.28515625" style="207" hidden="1" customWidth="1"/>
    <col min="29" max="29" width="20.85546875" style="207" hidden="1" customWidth="1"/>
    <col min="30" max="30" width="16.85546875" style="207" hidden="1" customWidth="1"/>
    <col min="31" max="31" width="19.140625" style="207" customWidth="1"/>
    <col min="32" max="32" width="18.28515625" style="207" customWidth="1"/>
    <col min="33" max="33" width="17" style="207" customWidth="1"/>
    <col min="34" max="34" width="19.28515625" style="1" customWidth="1"/>
    <col min="35" max="35" width="13.28515625" style="1" customWidth="1"/>
    <col min="36" max="36" width="12.7109375" style="1" customWidth="1"/>
    <col min="37" max="37" width="13.140625" style="207" hidden="1" customWidth="1"/>
    <col min="38" max="39" width="14.85546875" style="1" hidden="1" customWidth="1"/>
    <col min="40" max="40" width="16.140625" style="1" hidden="1" customWidth="1"/>
    <col min="41" max="41" width="15.7109375" style="1" hidden="1" customWidth="1"/>
    <col min="42" max="42" width="10" style="1" hidden="1" customWidth="1"/>
    <col min="43" max="43" width="14" style="1" hidden="1" customWidth="1"/>
    <col min="44" max="44" width="15.28515625" style="1" hidden="1" customWidth="1"/>
    <col min="45" max="45" width="18.7109375" style="1" hidden="1" customWidth="1"/>
    <col min="46" max="46" width="15.140625" style="1" hidden="1" customWidth="1"/>
    <col min="47" max="47" width="11.42578125" style="1" customWidth="1"/>
    <col min="48" max="48" width="19.140625" style="1" customWidth="1"/>
    <col min="49" max="49" width="17.42578125" style="1" bestFit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53</v>
      </c>
    </row>
    <row r="11" spans="1:34">
      <c r="B11" s="3" t="s">
        <v>54</v>
      </c>
    </row>
    <row r="12" spans="1:34">
      <c r="B12" s="3" t="s">
        <v>70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0" t="s">
        <v>38</v>
      </c>
      <c r="I14" s="711"/>
      <c r="J14" s="711"/>
      <c r="K14" s="711"/>
      <c r="L14" s="711"/>
      <c r="M14" s="711"/>
      <c r="N14" s="747"/>
      <c r="O14" s="713"/>
      <c r="P14" s="713"/>
      <c r="Q14" s="713"/>
      <c r="R14" s="713"/>
      <c r="S14" s="713"/>
      <c r="T14" s="714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288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57631661*12</f>
        <v>691579932</v>
      </c>
      <c r="E16" s="22"/>
      <c r="F16" s="23"/>
      <c r="G16" s="24"/>
      <c r="H16" s="318">
        <f>SUM(I16:T16)</f>
        <v>691579932</v>
      </c>
      <c r="I16" s="153">
        <v>57631661</v>
      </c>
      <c r="J16" s="65">
        <v>57631661</v>
      </c>
      <c r="K16" s="65">
        <v>57631661</v>
      </c>
      <c r="L16" s="217">
        <v>57631661</v>
      </c>
      <c r="M16" s="33">
        <v>57631661</v>
      </c>
      <c r="N16" s="217">
        <v>57631661</v>
      </c>
      <c r="O16" s="33">
        <v>57631661</v>
      </c>
      <c r="P16" s="212">
        <v>57631661</v>
      </c>
      <c r="Q16" s="33">
        <v>57631661</v>
      </c>
      <c r="R16" s="33">
        <v>57631661</v>
      </c>
      <c r="S16" s="33">
        <v>57631661</v>
      </c>
      <c r="T16" s="21">
        <v>57631661</v>
      </c>
      <c r="U16" s="38">
        <v>57631661</v>
      </c>
      <c r="V16" s="217">
        <v>57631661</v>
      </c>
      <c r="W16" s="65">
        <v>57631661</v>
      </c>
      <c r="X16" s="217">
        <v>57631661</v>
      </c>
      <c r="Y16" s="209">
        <v>57631661</v>
      </c>
      <c r="Z16" s="217">
        <v>57631661</v>
      </c>
      <c r="AA16" s="209">
        <v>57631661</v>
      </c>
      <c r="AB16" s="209">
        <v>57631661</v>
      </c>
      <c r="AC16" s="209">
        <v>57631661</v>
      </c>
      <c r="AD16" s="209">
        <v>57631661</v>
      </c>
      <c r="AE16" s="209">
        <v>57631661</v>
      </c>
      <c r="AF16" s="225">
        <v>57631661</v>
      </c>
      <c r="AG16" s="226">
        <f>SUM(U16:AF16)</f>
        <v>691579932</v>
      </c>
      <c r="AH16" s="123">
        <f t="shared" ref="AH16:AH30" si="0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>
        <f>2399481*12</f>
        <v>28793772</v>
      </c>
      <c r="E17" s="15"/>
      <c r="F17" s="14"/>
      <c r="G17" s="16"/>
      <c r="H17" s="319">
        <f>SUM(I17:T17)</f>
        <v>28793772</v>
      </c>
      <c r="I17" s="154">
        <v>2399481</v>
      </c>
      <c r="J17" s="65">
        <v>2399481</v>
      </c>
      <c r="K17" s="65">
        <v>2399481</v>
      </c>
      <c r="L17" s="217">
        <v>2399481</v>
      </c>
      <c r="M17" s="9">
        <v>2399481</v>
      </c>
      <c r="N17" s="217">
        <v>2399481</v>
      </c>
      <c r="O17" s="9">
        <v>2399481</v>
      </c>
      <c r="P17" s="206">
        <v>2399481</v>
      </c>
      <c r="Q17" s="9">
        <v>2399481</v>
      </c>
      <c r="R17" s="9">
        <v>2399481</v>
      </c>
      <c r="S17" s="9">
        <v>2399481</v>
      </c>
      <c r="T17" s="13">
        <v>2399481</v>
      </c>
      <c r="U17" s="35">
        <v>2399481</v>
      </c>
      <c r="V17" s="217">
        <v>2399481</v>
      </c>
      <c r="W17" s="65">
        <v>2399481</v>
      </c>
      <c r="X17" s="217">
        <v>2399481</v>
      </c>
      <c r="Y17" s="206">
        <v>2399481</v>
      </c>
      <c r="Z17" s="217">
        <v>2399481</v>
      </c>
      <c r="AA17" s="206">
        <v>2399481</v>
      </c>
      <c r="AB17" s="206">
        <v>2399481</v>
      </c>
      <c r="AC17" s="206">
        <v>2399481</v>
      </c>
      <c r="AD17" s="206">
        <v>2399481</v>
      </c>
      <c r="AE17" s="206">
        <v>2399481</v>
      </c>
      <c r="AF17" s="227">
        <v>2399481</v>
      </c>
      <c r="AG17" s="228">
        <f t="shared" ref="AG17:AG28" si="1">SUM(U17:AF17)</f>
        <v>28793772</v>
      </c>
      <c r="AH17" s="124">
        <f t="shared" si="0"/>
        <v>0</v>
      </c>
    </row>
    <row r="18" spans="1:48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65">
        <v>0</v>
      </c>
      <c r="K18" s="9"/>
      <c r="L18" s="217">
        <v>0</v>
      </c>
      <c r="M18" s="9">
        <v>0</v>
      </c>
      <c r="N18" s="217">
        <v>0</v>
      </c>
      <c r="O18" s="9">
        <v>0</v>
      </c>
      <c r="P18" s="206">
        <v>0</v>
      </c>
      <c r="Q18" s="9">
        <v>0</v>
      </c>
      <c r="R18" s="9">
        <v>0</v>
      </c>
      <c r="S18" s="9">
        <v>0</v>
      </c>
      <c r="T18" s="13">
        <v>0</v>
      </c>
      <c r="U18" s="35"/>
      <c r="V18" s="217">
        <v>0</v>
      </c>
      <c r="W18" s="206"/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>
        <v>0</v>
      </c>
      <c r="AG18" s="228">
        <f t="shared" si="1"/>
        <v>0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-132908*12</f>
        <v>-1594896</v>
      </c>
      <c r="E19" s="15"/>
      <c r="F19" s="14"/>
      <c r="G19" s="16"/>
      <c r="H19" s="319">
        <f t="shared" si="2"/>
        <v>-1594896</v>
      </c>
      <c r="I19" s="154">
        <v>-132908</v>
      </c>
      <c r="J19" s="65">
        <v>-132908</v>
      </c>
      <c r="K19" s="65">
        <v>-132908</v>
      </c>
      <c r="L19" s="217">
        <v>-132908</v>
      </c>
      <c r="M19" s="9">
        <v>-132908</v>
      </c>
      <c r="N19" s="217">
        <v>-132908</v>
      </c>
      <c r="O19" s="9">
        <v>-132908</v>
      </c>
      <c r="P19" s="206">
        <v>-132908</v>
      </c>
      <c r="Q19" s="9">
        <v>-132908</v>
      </c>
      <c r="R19" s="9">
        <v>-132908</v>
      </c>
      <c r="S19" s="9">
        <v>-132908</v>
      </c>
      <c r="T19" s="13">
        <v>-132908</v>
      </c>
      <c r="U19" s="35">
        <v>-132908</v>
      </c>
      <c r="V19" s="217">
        <v>-132908</v>
      </c>
      <c r="W19" s="206">
        <v>-132908</v>
      </c>
      <c r="X19" s="217">
        <v>-132908</v>
      </c>
      <c r="Y19" s="206">
        <v>-132908</v>
      </c>
      <c r="Z19" s="217">
        <v>-132908</v>
      </c>
      <c r="AA19" s="206">
        <v>-132908</v>
      </c>
      <c r="AB19" s="206">
        <v>-132908</v>
      </c>
      <c r="AC19" s="206">
        <v>-132908</v>
      </c>
      <c r="AD19" s="206">
        <v>-132908</v>
      </c>
      <c r="AE19" s="206">
        <v>-132908</v>
      </c>
      <c r="AF19" s="227">
        <v>-132908</v>
      </c>
      <c r="AG19" s="228">
        <f t="shared" si="1"/>
        <v>-1594896</v>
      </c>
      <c r="AH19" s="124">
        <f t="shared" si="0"/>
        <v>0</v>
      </c>
    </row>
    <row r="20" spans="1:48" ht="15" hidden="1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19">
        <f t="shared" si="2"/>
        <v>0</v>
      </c>
      <c r="I20" s="154"/>
      <c r="J20" s="65">
        <v>0</v>
      </c>
      <c r="K20" s="9"/>
      <c r="L20" s="206"/>
      <c r="M20" s="9"/>
      <c r="N20" s="9"/>
      <c r="O20" s="9"/>
      <c r="P20" s="206"/>
      <c r="Q20" s="9"/>
      <c r="R20" s="9"/>
      <c r="S20" s="9"/>
      <c r="T20" s="13"/>
      <c r="U20" s="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501115*12</f>
        <v>6013380</v>
      </c>
      <c r="E21" s="15"/>
      <c r="F21" s="14"/>
      <c r="G21" s="16"/>
      <c r="H21" s="319">
        <f t="shared" si="2"/>
        <v>6704972.9399999995</v>
      </c>
      <c r="I21" s="154">
        <v>501115</v>
      </c>
      <c r="J21" s="65">
        <v>529180</v>
      </c>
      <c r="K21" s="65">
        <v>515147.94000000006</v>
      </c>
      <c r="L21" s="217">
        <v>515148</v>
      </c>
      <c r="M21" s="9">
        <v>515148</v>
      </c>
      <c r="N21" s="65">
        <v>515148</v>
      </c>
      <c r="O21" s="9">
        <v>515148</v>
      </c>
      <c r="P21" s="206">
        <v>515148</v>
      </c>
      <c r="Q21" s="9">
        <v>515148</v>
      </c>
      <c r="R21" s="9">
        <v>515148</v>
      </c>
      <c r="S21" s="9">
        <v>515148</v>
      </c>
      <c r="T21" s="13">
        <v>1038346</v>
      </c>
      <c r="U21" s="35">
        <v>501115</v>
      </c>
      <c r="V21" s="217">
        <v>529180</v>
      </c>
      <c r="W21" s="65">
        <v>515148</v>
      </c>
      <c r="X21" s="65">
        <v>515148</v>
      </c>
      <c r="Y21" s="206">
        <v>515148</v>
      </c>
      <c r="Z21" s="65">
        <v>515148</v>
      </c>
      <c r="AA21" s="206">
        <v>515148</v>
      </c>
      <c r="AB21" s="206">
        <v>515148</v>
      </c>
      <c r="AC21" s="206">
        <v>515148</v>
      </c>
      <c r="AD21" s="206">
        <v>515148</v>
      </c>
      <c r="AE21" s="206">
        <v>515148</v>
      </c>
      <c r="AF21" s="227">
        <v>1038346</v>
      </c>
      <c r="AG21" s="228">
        <f t="shared" si="1"/>
        <v>6704973</v>
      </c>
      <c r="AH21" s="124">
        <f t="shared" si="0"/>
        <v>-6.0000000521540642E-2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41375349</v>
      </c>
      <c r="I22" s="154"/>
      <c r="J22" s="65"/>
      <c r="K22" s="65"/>
      <c r="L22" s="217">
        <v>10366573</v>
      </c>
      <c r="M22" s="9"/>
      <c r="N22" s="65">
        <v>10239920</v>
      </c>
      <c r="O22" s="9"/>
      <c r="P22" s="206"/>
      <c r="Q22" s="9">
        <v>10445652</v>
      </c>
      <c r="R22" s="9"/>
      <c r="S22" s="9"/>
      <c r="T22" s="13">
        <v>10323204</v>
      </c>
      <c r="U22" s="35"/>
      <c r="V22" s="217"/>
      <c r="W22" s="65"/>
      <c r="X22" s="65">
        <v>10366573</v>
      </c>
      <c r="Y22" s="206"/>
      <c r="Z22" s="65">
        <v>10239920</v>
      </c>
      <c r="AA22" s="206"/>
      <c r="AB22" s="206"/>
      <c r="AC22" s="206">
        <v>10445652</v>
      </c>
      <c r="AD22" s="206"/>
      <c r="AE22" s="206"/>
      <c r="AF22" s="227">
        <v>10323204</v>
      </c>
      <c r="AG22" s="228">
        <f>SUM(U22:AF22)</f>
        <v>41375349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47802590</v>
      </c>
      <c r="I23" s="154"/>
      <c r="J23" s="65"/>
      <c r="K23" s="65"/>
      <c r="L23" s="217">
        <v>11976915</v>
      </c>
      <c r="M23" s="9"/>
      <c r="N23" s="65">
        <v>11830587</v>
      </c>
      <c r="O23" s="9"/>
      <c r="P23" s="206"/>
      <c r="Q23" s="9">
        <v>12068279</v>
      </c>
      <c r="R23" s="9"/>
      <c r="S23" s="9"/>
      <c r="T23" s="13">
        <v>11926809</v>
      </c>
      <c r="U23" s="35"/>
      <c r="V23" s="217"/>
      <c r="W23" s="65"/>
      <c r="X23" s="65">
        <v>11976915</v>
      </c>
      <c r="Y23" s="206"/>
      <c r="Z23" s="65">
        <v>11830587</v>
      </c>
      <c r="AA23" s="206"/>
      <c r="AB23" s="206"/>
      <c r="AC23" s="206">
        <v>12068279</v>
      </c>
      <c r="AD23" s="206"/>
      <c r="AE23" s="206"/>
      <c r="AF23" s="227">
        <v>11926809</v>
      </c>
      <c r="AG23" s="228">
        <f>SUM(U23:AF23)</f>
        <v>47802590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262876*12</f>
        <v>3154512</v>
      </c>
      <c r="E24" s="15"/>
      <c r="F24" s="14"/>
      <c r="G24" s="16"/>
      <c r="H24" s="319">
        <f t="shared" si="2"/>
        <v>3154512</v>
      </c>
      <c r="I24" s="154">
        <v>262876</v>
      </c>
      <c r="J24" s="65">
        <v>262876</v>
      </c>
      <c r="K24" s="65">
        <v>262876</v>
      </c>
      <c r="L24" s="217">
        <v>262876</v>
      </c>
      <c r="M24" s="9">
        <v>262876</v>
      </c>
      <c r="N24" s="65">
        <v>262876</v>
      </c>
      <c r="O24" s="9">
        <v>262876</v>
      </c>
      <c r="P24" s="206">
        <v>262876</v>
      </c>
      <c r="Q24" s="9">
        <v>262876</v>
      </c>
      <c r="R24" s="9">
        <v>262876</v>
      </c>
      <c r="S24" s="9">
        <v>262876</v>
      </c>
      <c r="T24" s="13">
        <v>262876</v>
      </c>
      <c r="U24" s="35">
        <v>262876</v>
      </c>
      <c r="V24" s="217">
        <v>262876</v>
      </c>
      <c r="W24" s="65">
        <v>262876</v>
      </c>
      <c r="X24" s="65">
        <v>262876</v>
      </c>
      <c r="Y24" s="206">
        <v>262876</v>
      </c>
      <c r="Z24" s="65">
        <v>262876</v>
      </c>
      <c r="AA24" s="206">
        <v>262876</v>
      </c>
      <c r="AB24" s="206">
        <v>262876</v>
      </c>
      <c r="AC24" s="206">
        <v>262876</v>
      </c>
      <c r="AD24" s="206">
        <v>262876</v>
      </c>
      <c r="AE24" s="206">
        <v>262876</v>
      </c>
      <c r="AF24" s="227">
        <v>262876</v>
      </c>
      <c r="AG24" s="228">
        <f t="shared" si="1"/>
        <v>3154512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19">
        <f t="shared" si="2"/>
        <v>0</v>
      </c>
      <c r="I25" s="154"/>
      <c r="J25" s="65">
        <v>0</v>
      </c>
      <c r="K25" s="9"/>
      <c r="L25" s="206"/>
      <c r="M25" s="9"/>
      <c r="N25" s="9"/>
      <c r="O25" s="9"/>
      <c r="P25" s="206"/>
      <c r="Q25" s="9"/>
      <c r="R25" s="9"/>
      <c r="S25" s="9"/>
      <c r="T25" s="13"/>
      <c r="U25" s="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si="1"/>
        <v>0</v>
      </c>
      <c r="AH25" s="124">
        <f t="shared" si="0"/>
        <v>0</v>
      </c>
    </row>
    <row r="26" spans="1:48" ht="15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9">
        <f t="shared" si="2"/>
        <v>0</v>
      </c>
      <c r="I26" s="154"/>
      <c r="J26" s="65"/>
      <c r="K26" s="9"/>
      <c r="L26" s="206"/>
      <c r="M26" s="9"/>
      <c r="N26" s="9"/>
      <c r="O26" s="9"/>
      <c r="P26" s="206"/>
      <c r="Q26" s="9"/>
      <c r="R26" s="9"/>
      <c r="S26" s="9"/>
      <c r="T26" s="13"/>
      <c r="U26" s="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0</v>
      </c>
      <c r="I27" s="154"/>
      <c r="J27" s="65"/>
      <c r="K27" s="9"/>
      <c r="L27" s="206"/>
      <c r="M27" s="9"/>
      <c r="N27" s="9"/>
      <c r="O27" s="9"/>
      <c r="P27" s="206"/>
      <c r="Q27" s="9"/>
      <c r="R27" s="9"/>
      <c r="S27" s="9"/>
      <c r="T27" s="13"/>
      <c r="U27" s="35"/>
      <c r="V27" s="217"/>
      <c r="W27" s="206"/>
      <c r="X27" s="206"/>
      <c r="Y27" s="206"/>
      <c r="Z27" s="206"/>
      <c r="AA27" s="206"/>
      <c r="AB27" s="206"/>
      <c r="AC27" s="206"/>
      <c r="AD27" s="206"/>
      <c r="AE27" s="206"/>
      <c r="AF27" s="227"/>
      <c r="AG27" s="228">
        <f t="shared" si="1"/>
        <v>0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0</v>
      </c>
      <c r="I28" s="154"/>
      <c r="J28" s="65"/>
      <c r="K28" s="9"/>
      <c r="L28" s="206"/>
      <c r="M28" s="9"/>
      <c r="N28" s="9"/>
      <c r="O28" s="9"/>
      <c r="P28" s="206"/>
      <c r="Q28" s="9"/>
      <c r="R28" s="9"/>
      <c r="S28" s="9"/>
      <c r="T28" s="13"/>
      <c r="U28" s="35"/>
      <c r="V28" s="217"/>
      <c r="W28" s="206"/>
      <c r="X28" s="206"/>
      <c r="Y28" s="206"/>
      <c r="Z28" s="206"/>
      <c r="AA28" s="206"/>
      <c r="AB28" s="206"/>
      <c r="AC28" s="206"/>
      <c r="AD28" s="206"/>
      <c r="AE28" s="206"/>
      <c r="AF28" s="227"/>
      <c r="AG28" s="228">
        <f t="shared" si="1"/>
        <v>0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19">
        <f t="shared" si="2"/>
        <v>8865930.1809353828</v>
      </c>
      <c r="I29" s="154"/>
      <c r="J29" s="65"/>
      <c r="K29" s="9"/>
      <c r="L29" s="206"/>
      <c r="M29" s="9"/>
      <c r="N29" s="9"/>
      <c r="O29" s="9"/>
      <c r="P29" s="206"/>
      <c r="Q29" s="9"/>
      <c r="R29" s="9"/>
      <c r="S29" s="9">
        <v>8865930.1809353828</v>
      </c>
      <c r="T29" s="13"/>
      <c r="U29" s="35"/>
      <c r="V29" s="217"/>
      <c r="W29" s="206"/>
      <c r="X29" s="206"/>
      <c r="Y29" s="206"/>
      <c r="Z29" s="206"/>
      <c r="AA29" s="206"/>
      <c r="AB29" s="206"/>
      <c r="AC29" s="206"/>
      <c r="AD29" s="206"/>
      <c r="AE29" s="206">
        <v>8865930.1809353828</v>
      </c>
      <c r="AF29" s="227"/>
      <c r="AG29" s="228">
        <f>SUM(U29:AF29)</f>
        <v>8865930.1809353828</v>
      </c>
      <c r="AH29" s="124">
        <f>+H29-AG29</f>
        <v>0</v>
      </c>
    </row>
    <row r="30" spans="1:48" ht="15.75" thickBot="1">
      <c r="A30" s="743" t="s">
        <v>36</v>
      </c>
      <c r="B30" s="744"/>
      <c r="C30" s="89"/>
      <c r="D30" s="244">
        <f>SUM(D16:D24)</f>
        <v>727946700</v>
      </c>
      <c r="E30" s="91"/>
      <c r="F30" s="92"/>
      <c r="G30" s="93"/>
      <c r="H30" s="320">
        <f>SUM(H16:H28)</f>
        <v>817816231.94000006</v>
      </c>
      <c r="I30" s="311">
        <f>SUM(I16:I28)</f>
        <v>60662225</v>
      </c>
      <c r="J30" s="311">
        <f t="shared" ref="J30:O30" si="3">SUM(J16:J28)</f>
        <v>60690290</v>
      </c>
      <c r="K30" s="311">
        <f t="shared" si="3"/>
        <v>60676257.939999998</v>
      </c>
      <c r="L30" s="311">
        <f t="shared" si="3"/>
        <v>83019746</v>
      </c>
      <c r="M30" s="311">
        <f t="shared" si="3"/>
        <v>60676258</v>
      </c>
      <c r="N30" s="311">
        <f t="shared" si="3"/>
        <v>82746765</v>
      </c>
      <c r="O30" s="311">
        <f t="shared" si="3"/>
        <v>60676258</v>
      </c>
      <c r="P30" s="363">
        <f t="shared" ref="P30:AF30" si="4">SUM(P16:P28)</f>
        <v>60676258</v>
      </c>
      <c r="Q30" s="311">
        <f t="shared" si="4"/>
        <v>83190189</v>
      </c>
      <c r="R30" s="311">
        <f t="shared" si="4"/>
        <v>60676258</v>
      </c>
      <c r="S30" s="311">
        <f t="shared" si="4"/>
        <v>60676258</v>
      </c>
      <c r="T30" s="311">
        <f t="shared" si="4"/>
        <v>83449469</v>
      </c>
      <c r="U30" s="111">
        <f t="shared" si="4"/>
        <v>60662225</v>
      </c>
      <c r="V30" s="211">
        <f t="shared" si="4"/>
        <v>60690290</v>
      </c>
      <c r="W30" s="211">
        <f t="shared" si="4"/>
        <v>60676258</v>
      </c>
      <c r="X30" s="211">
        <f t="shared" si="4"/>
        <v>83019746</v>
      </c>
      <c r="Y30" s="211">
        <f t="shared" si="4"/>
        <v>60676258</v>
      </c>
      <c r="Z30" s="211">
        <f t="shared" si="4"/>
        <v>82746765</v>
      </c>
      <c r="AA30" s="211">
        <f t="shared" si="4"/>
        <v>60676258</v>
      </c>
      <c r="AB30" s="211">
        <f t="shared" si="4"/>
        <v>60676258</v>
      </c>
      <c r="AC30" s="211">
        <f t="shared" si="4"/>
        <v>83190189</v>
      </c>
      <c r="AD30" s="211">
        <f t="shared" si="4"/>
        <v>60676258</v>
      </c>
      <c r="AE30" s="211">
        <f t="shared" si="4"/>
        <v>60676258</v>
      </c>
      <c r="AF30" s="211">
        <f t="shared" si="4"/>
        <v>83449469</v>
      </c>
      <c r="AG30" s="339">
        <f>SUM(U30:AF30)</f>
        <v>817816232</v>
      </c>
      <c r="AH30" s="119">
        <f t="shared" si="0"/>
        <v>-5.9999942779541016E-2</v>
      </c>
    </row>
    <row r="31" spans="1:48" ht="15" thickBot="1">
      <c r="D31" s="265">
        <v>4519661</v>
      </c>
      <c r="E31" s="5">
        <v>0.7</v>
      </c>
      <c r="F31" s="5">
        <v>0.3</v>
      </c>
      <c r="G31" s="5">
        <v>8.3333333333333329E-2</v>
      </c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0" t="s">
        <v>38</v>
      </c>
      <c r="I32" s="711"/>
      <c r="J32" s="711"/>
      <c r="K32" s="711"/>
      <c r="L32" s="711"/>
      <c r="M32" s="711"/>
      <c r="N32" s="712"/>
      <c r="O32" s="713"/>
      <c r="P32" s="713"/>
      <c r="Q32" s="713"/>
      <c r="R32" s="713"/>
      <c r="S32" s="713"/>
      <c r="T32" s="714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0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74" t="s">
        <v>13</v>
      </c>
      <c r="K33" s="74" t="s">
        <v>14</v>
      </c>
      <c r="L33" s="246" t="s">
        <v>15</v>
      </c>
      <c r="M33" s="74" t="s">
        <v>16</v>
      </c>
      <c r="N33" s="74" t="s">
        <v>17</v>
      </c>
      <c r="O33" s="74" t="s">
        <v>18</v>
      </c>
      <c r="P33" s="246" t="s">
        <v>19</v>
      </c>
      <c r="Q33" s="74" t="s">
        <v>20</v>
      </c>
      <c r="R33" s="74" t="s">
        <v>21</v>
      </c>
      <c r="S33" s="74" t="s">
        <v>22</v>
      </c>
      <c r="T33" s="75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0" ht="15.75" thickBot="1">
      <c r="A34" s="573">
        <v>1</v>
      </c>
      <c r="B34" s="608" t="s">
        <v>99</v>
      </c>
      <c r="C34" s="615">
        <v>1388</v>
      </c>
      <c r="D34" s="610">
        <v>101409</v>
      </c>
      <c r="E34" s="611">
        <f>+D34*E31</f>
        <v>70986.299999999988</v>
      </c>
      <c r="F34" s="612">
        <f>+D34*F31</f>
        <v>30422.699999999997</v>
      </c>
      <c r="G34" s="616"/>
      <c r="H34" s="327">
        <f>SUM(I34:T34)</f>
        <v>101408.99999999999</v>
      </c>
      <c r="I34" s="268"/>
      <c r="J34" s="156"/>
      <c r="K34" s="153">
        <v>70986.299999999988</v>
      </c>
      <c r="L34" s="212"/>
      <c r="M34" s="33"/>
      <c r="N34" s="33"/>
      <c r="O34" s="33"/>
      <c r="P34" s="212"/>
      <c r="Q34" s="33"/>
      <c r="R34" s="33">
        <v>30422.699999999997</v>
      </c>
      <c r="S34" s="33"/>
      <c r="T34" s="21"/>
      <c r="U34" s="38"/>
      <c r="V34" s="220"/>
      <c r="W34" s="209">
        <v>70986.299999999988</v>
      </c>
      <c r="X34" s="209"/>
      <c r="Y34" s="209"/>
      <c r="Z34" s="209"/>
      <c r="AA34" s="209"/>
      <c r="AB34" s="209"/>
      <c r="AC34" s="209"/>
      <c r="AD34" s="209">
        <v>30422.699999999997</v>
      </c>
      <c r="AE34" s="209"/>
      <c r="AF34" s="209"/>
      <c r="AG34" s="218">
        <f>SUM(U34:AF34)</f>
        <v>101408.99999999999</v>
      </c>
      <c r="AH34" s="123">
        <f t="shared" ref="AH34:AH67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101408.99999999999</v>
      </c>
    </row>
    <row r="35" spans="1:50" ht="15">
      <c r="A35" s="573">
        <v>2</v>
      </c>
      <c r="B35" s="608" t="s">
        <v>100</v>
      </c>
      <c r="C35" s="615">
        <v>1388</v>
      </c>
      <c r="D35" s="610">
        <v>8551620</v>
      </c>
      <c r="E35" s="583">
        <f>+D35*E31</f>
        <v>5986134</v>
      </c>
      <c r="F35" s="584">
        <f>+D35*F31</f>
        <v>2565486</v>
      </c>
      <c r="G35" s="617"/>
      <c r="H35" s="319">
        <f>SUM(I35:T35)</f>
        <v>8551620</v>
      </c>
      <c r="I35" s="153"/>
      <c r="J35" s="157"/>
      <c r="K35" s="153">
        <v>5986134</v>
      </c>
      <c r="L35" s="212"/>
      <c r="M35" s="33"/>
      <c r="N35" s="33"/>
      <c r="O35" s="33"/>
      <c r="P35" s="212"/>
      <c r="Q35" s="33"/>
      <c r="R35" s="33">
        <v>2565486</v>
      </c>
      <c r="S35" s="33"/>
      <c r="T35" s="21"/>
      <c r="U35" s="144"/>
      <c r="V35" s="217"/>
      <c r="W35" s="212">
        <v>5986134</v>
      </c>
      <c r="X35" s="212"/>
      <c r="Y35" s="212"/>
      <c r="Z35" s="212"/>
      <c r="AA35" s="212"/>
      <c r="AB35" s="212"/>
      <c r="AC35" s="212"/>
      <c r="AD35" s="212">
        <v>2565486</v>
      </c>
      <c r="AE35" s="212"/>
      <c r="AF35" s="212"/>
      <c r="AG35" s="218">
        <f>SUM(U35:AF35)</f>
        <v>8551620</v>
      </c>
      <c r="AH35" s="123">
        <f t="shared" si="5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>
        <v>5401028</v>
      </c>
      <c r="AT35" s="212"/>
      <c r="AU35" s="212"/>
      <c r="AV35" s="248"/>
      <c r="AW35" s="226">
        <f>SUM(AK35:AV35)</f>
        <v>5401028</v>
      </c>
      <c r="AX35" s="431">
        <f t="shared" ref="AX35:AX77" si="6">+AG35-AW35</f>
        <v>3150592</v>
      </c>
    </row>
    <row r="36" spans="1:50" ht="15">
      <c r="A36" s="18">
        <v>3</v>
      </c>
      <c r="B36" s="7" t="s">
        <v>74</v>
      </c>
      <c r="C36" s="147"/>
      <c r="D36" s="13"/>
      <c r="E36" s="138"/>
      <c r="F36" s="139"/>
      <c r="G36" s="344"/>
      <c r="H36" s="319">
        <f t="shared" ref="H36:H82" si="7">SUM(I36:T36)</f>
        <v>0</v>
      </c>
      <c r="I36" s="154"/>
      <c r="J36" s="157"/>
      <c r="K36" s="154"/>
      <c r="L36" s="206"/>
      <c r="M36" s="9"/>
      <c r="N36" s="9"/>
      <c r="O36" s="33"/>
      <c r="P36" s="212"/>
      <c r="Q36" s="33"/>
      <c r="R36" s="33"/>
      <c r="S36" s="33"/>
      <c r="T36" s="21"/>
      <c r="U36" s="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1">
        <f t="shared" si="6"/>
        <v>0</v>
      </c>
    </row>
    <row r="37" spans="1:50" ht="15">
      <c r="A37" s="18">
        <v>4</v>
      </c>
      <c r="B37" s="7" t="s">
        <v>75</v>
      </c>
      <c r="C37" s="147"/>
      <c r="D37" s="13"/>
      <c r="E37" s="138"/>
      <c r="F37" s="139"/>
      <c r="G37" s="344"/>
      <c r="H37" s="319">
        <f t="shared" si="7"/>
        <v>0</v>
      </c>
      <c r="I37" s="154"/>
      <c r="J37" s="157"/>
      <c r="K37" s="154"/>
      <c r="L37" s="206"/>
      <c r="M37" s="9"/>
      <c r="N37" s="9"/>
      <c r="O37" s="33"/>
      <c r="P37" s="212"/>
      <c r="Q37" s="33"/>
      <c r="R37" s="33"/>
      <c r="S37" s="33"/>
      <c r="T37" s="21"/>
      <c r="U37" s="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8"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9">SUM(AK37:AV37)</f>
        <v>0</v>
      </c>
      <c r="AX37" s="431">
        <f t="shared" si="6"/>
        <v>0</v>
      </c>
    </row>
    <row r="38" spans="1:50" ht="15">
      <c r="A38" s="573">
        <v>5</v>
      </c>
      <c r="B38" s="575" t="s">
        <v>101</v>
      </c>
      <c r="C38" s="576" t="s">
        <v>175</v>
      </c>
      <c r="D38" s="577">
        <v>10782854</v>
      </c>
      <c r="E38" s="578">
        <f>+D38*$E$31</f>
        <v>7547997.7999999998</v>
      </c>
      <c r="F38" s="579">
        <f>+D38*$F$31</f>
        <v>3234856.1999999997</v>
      </c>
      <c r="G38" s="582"/>
      <c r="H38" s="319">
        <f t="shared" si="7"/>
        <v>10782854.199999999</v>
      </c>
      <c r="I38" s="154"/>
      <c r="J38" s="157"/>
      <c r="K38" s="154">
        <v>7540998</v>
      </c>
      <c r="L38" s="206"/>
      <c r="M38" s="9">
        <v>7000</v>
      </c>
      <c r="N38" s="9"/>
      <c r="O38" s="33"/>
      <c r="P38" s="212"/>
      <c r="Q38" s="33"/>
      <c r="R38" s="33">
        <v>3234856.1999999997</v>
      </c>
      <c r="S38" s="33"/>
      <c r="T38" s="21"/>
      <c r="U38" s="35"/>
      <c r="V38" s="217"/>
      <c r="W38" s="206">
        <v>7540998</v>
      </c>
      <c r="X38" s="206"/>
      <c r="Y38" s="206">
        <v>7000</v>
      </c>
      <c r="Z38" s="206"/>
      <c r="AA38" s="206"/>
      <c r="AB38" s="206"/>
      <c r="AC38" s="206"/>
      <c r="AD38" s="206">
        <v>3234856.1999999997</v>
      </c>
      <c r="AE38" s="206"/>
      <c r="AF38" s="206"/>
      <c r="AG38" s="219">
        <f t="shared" si="8"/>
        <v>10782854.199999999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 t="shared" si="9"/>
        <v>0</v>
      </c>
      <c r="AX38" s="431">
        <f t="shared" si="6"/>
        <v>10782854.199999999</v>
      </c>
    </row>
    <row r="39" spans="1:50" ht="15">
      <c r="A39" s="573">
        <v>6</v>
      </c>
      <c r="B39" s="575" t="s">
        <v>102</v>
      </c>
      <c r="C39" s="576" t="s">
        <v>175</v>
      </c>
      <c r="D39" s="577">
        <v>1673100</v>
      </c>
      <c r="E39" s="578">
        <f>+D39*$E$31</f>
        <v>1171170</v>
      </c>
      <c r="F39" s="579">
        <f>+D39*$F$31</f>
        <v>501930</v>
      </c>
      <c r="G39" s="582"/>
      <c r="H39" s="319">
        <f t="shared" si="7"/>
        <v>1673100</v>
      </c>
      <c r="I39" s="154"/>
      <c r="J39" s="157"/>
      <c r="K39" s="154">
        <v>1171170</v>
      </c>
      <c r="L39" s="206"/>
      <c r="M39" s="9"/>
      <c r="N39" s="9"/>
      <c r="O39" s="33"/>
      <c r="P39" s="212"/>
      <c r="Q39" s="33"/>
      <c r="R39" s="33">
        <v>501930</v>
      </c>
      <c r="S39" s="33"/>
      <c r="T39" s="21"/>
      <c r="U39" s="35"/>
      <c r="V39" s="217"/>
      <c r="W39" s="206">
        <v>1171170</v>
      </c>
      <c r="X39" s="206"/>
      <c r="Y39" s="206"/>
      <c r="Z39" s="206"/>
      <c r="AA39" s="206"/>
      <c r="AB39" s="206"/>
      <c r="AC39" s="206"/>
      <c r="AD39" s="206">
        <v>501930</v>
      </c>
      <c r="AE39" s="206"/>
      <c r="AF39" s="206"/>
      <c r="AG39" s="219">
        <f t="shared" si="8"/>
        <v>1673100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si="9"/>
        <v>0</v>
      </c>
      <c r="AX39" s="431">
        <f t="shared" si="6"/>
        <v>1673100</v>
      </c>
    </row>
    <row r="40" spans="1:50" ht="15">
      <c r="A40" s="18">
        <v>7</v>
      </c>
      <c r="B40" s="7" t="s">
        <v>112</v>
      </c>
      <c r="C40" s="147"/>
      <c r="D40" s="13"/>
      <c r="E40" s="142"/>
      <c r="F40" s="143"/>
      <c r="G40" s="344"/>
      <c r="H40" s="319">
        <f t="shared" si="7"/>
        <v>0</v>
      </c>
      <c r="I40" s="154"/>
      <c r="J40" s="157"/>
      <c r="K40" s="154"/>
      <c r="L40" s="206"/>
      <c r="M40" s="9"/>
      <c r="N40" s="9"/>
      <c r="O40" s="33"/>
      <c r="P40" s="212"/>
      <c r="Q40" s="33"/>
      <c r="R40" s="33"/>
      <c r="S40" s="33"/>
      <c r="T40" s="21"/>
      <c r="U40" s="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1">
        <f t="shared" si="6"/>
        <v>0</v>
      </c>
    </row>
    <row r="41" spans="1:50" ht="15">
      <c r="A41" s="573">
        <v>8</v>
      </c>
      <c r="B41" s="575" t="s">
        <v>76</v>
      </c>
      <c r="C41" s="576">
        <v>1618</v>
      </c>
      <c r="D41" s="577">
        <v>30491110</v>
      </c>
      <c r="E41" s="578">
        <f>+D41*E31</f>
        <v>21343777</v>
      </c>
      <c r="F41" s="579">
        <f>+D41*F31</f>
        <v>9147333</v>
      </c>
      <c r="G41" s="582"/>
      <c r="H41" s="319">
        <f t="shared" si="7"/>
        <v>30491110</v>
      </c>
      <c r="I41" s="154"/>
      <c r="J41" s="157"/>
      <c r="K41" s="154">
        <v>21343777</v>
      </c>
      <c r="L41" s="206"/>
      <c r="M41" s="9"/>
      <c r="N41" s="9"/>
      <c r="O41" s="33"/>
      <c r="P41" s="212"/>
      <c r="Q41" s="33"/>
      <c r="R41" s="33">
        <v>9147333</v>
      </c>
      <c r="S41" s="33"/>
      <c r="T41" s="21"/>
      <c r="U41" s="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/>
      <c r="AR41" s="206">
        <v>19217594</v>
      </c>
      <c r="AS41" s="206">
        <v>2772592</v>
      </c>
      <c r="AT41" s="206">
        <v>2772592</v>
      </c>
      <c r="AU41" s="206"/>
      <c r="AV41" s="227">
        <v>2772592</v>
      </c>
      <c r="AW41" s="228">
        <f t="shared" si="9"/>
        <v>27535370</v>
      </c>
      <c r="AX41" s="431">
        <f t="shared" si="6"/>
        <v>2955740</v>
      </c>
    </row>
    <row r="42" spans="1:50" ht="15">
      <c r="A42" s="18">
        <v>9</v>
      </c>
      <c r="B42" s="66" t="s">
        <v>77</v>
      </c>
      <c r="C42" s="147"/>
      <c r="D42" s="13"/>
      <c r="E42" s="138"/>
      <c r="F42" s="139"/>
      <c r="G42" s="344"/>
      <c r="H42" s="319">
        <f t="shared" si="7"/>
        <v>0</v>
      </c>
      <c r="I42" s="154"/>
      <c r="J42" s="157"/>
      <c r="K42" s="154"/>
      <c r="L42" s="206"/>
      <c r="M42" s="9"/>
      <c r="N42" s="9"/>
      <c r="O42" s="33"/>
      <c r="P42" s="212"/>
      <c r="Q42" s="33"/>
      <c r="R42" s="33"/>
      <c r="S42" s="33"/>
      <c r="T42" s="21"/>
      <c r="U42" s="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6"/>
        <v>0</v>
      </c>
    </row>
    <row r="43" spans="1:50" ht="15">
      <c r="A43" s="18">
        <v>10</v>
      </c>
      <c r="B43" s="7" t="s">
        <v>104</v>
      </c>
      <c r="C43" s="147"/>
      <c r="D43" s="13"/>
      <c r="E43" s="138"/>
      <c r="F43" s="139"/>
      <c r="G43" s="344"/>
      <c r="H43" s="319">
        <f t="shared" si="7"/>
        <v>0</v>
      </c>
      <c r="I43" s="154"/>
      <c r="J43" s="157"/>
      <c r="K43" s="154"/>
      <c r="L43" s="206"/>
      <c r="M43" s="9"/>
      <c r="N43" s="9"/>
      <c r="O43" s="33"/>
      <c r="P43" s="212"/>
      <c r="Q43" s="33"/>
      <c r="R43" s="33"/>
      <c r="S43" s="33"/>
      <c r="T43" s="21"/>
      <c r="U43" s="35"/>
      <c r="V43" s="217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19">
        <f t="shared" si="8"/>
        <v>0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9"/>
        <v>0</v>
      </c>
      <c r="AX43" s="431">
        <f t="shared" si="6"/>
        <v>0</v>
      </c>
    </row>
    <row r="44" spans="1:50" ht="15">
      <c r="A44" s="18">
        <v>11</v>
      </c>
      <c r="B44" s="7" t="s">
        <v>78</v>
      </c>
      <c r="C44" s="147"/>
      <c r="D44" s="13"/>
      <c r="E44" s="138"/>
      <c r="F44" s="139"/>
      <c r="G44" s="344"/>
      <c r="H44" s="319">
        <f t="shared" si="7"/>
        <v>0</v>
      </c>
      <c r="I44" s="154"/>
      <c r="J44" s="12"/>
      <c r="K44" s="154"/>
      <c r="L44" s="206"/>
      <c r="M44" s="9"/>
      <c r="N44" s="9"/>
      <c r="O44" s="33"/>
      <c r="P44" s="212"/>
      <c r="Q44" s="33"/>
      <c r="R44" s="33"/>
      <c r="S44" s="33"/>
      <c r="T44" s="21"/>
      <c r="U44" s="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1">
        <f t="shared" si="6"/>
        <v>0</v>
      </c>
    </row>
    <row r="45" spans="1:50" ht="15">
      <c r="A45" s="573">
        <v>12</v>
      </c>
      <c r="B45" s="619" t="s">
        <v>79</v>
      </c>
      <c r="C45" s="576">
        <v>1904</v>
      </c>
      <c r="D45" s="577">
        <v>19883929</v>
      </c>
      <c r="E45" s="578">
        <f>+D45*E31</f>
        <v>13918750.299999999</v>
      </c>
      <c r="F45" s="579">
        <f>+D45*F31</f>
        <v>5965178.7000000002</v>
      </c>
      <c r="G45" s="582"/>
      <c r="H45" s="319">
        <f t="shared" si="7"/>
        <v>19883929</v>
      </c>
      <c r="I45" s="154"/>
      <c r="J45" s="12"/>
      <c r="K45" s="154">
        <v>13918750</v>
      </c>
      <c r="L45" s="206"/>
      <c r="M45" s="9"/>
      <c r="N45" s="9"/>
      <c r="O45" s="33"/>
      <c r="P45" s="212"/>
      <c r="Q45" s="33"/>
      <c r="R45" s="33">
        <v>5965179</v>
      </c>
      <c r="S45" s="33"/>
      <c r="T45" s="21"/>
      <c r="U45" s="35"/>
      <c r="V45" s="217"/>
      <c r="W45" s="206">
        <v>13918750</v>
      </c>
      <c r="X45" s="206"/>
      <c r="Y45" s="206"/>
      <c r="Z45" s="206"/>
      <c r="AA45" s="206"/>
      <c r="AB45" s="206"/>
      <c r="AC45" s="206"/>
      <c r="AD45" s="206">
        <v>5965179</v>
      </c>
      <c r="AE45" s="206"/>
      <c r="AF45" s="206"/>
      <c r="AG45" s="219">
        <f t="shared" si="8"/>
        <v>19883929</v>
      </c>
      <c r="AH45" s="124">
        <f t="shared" si="5"/>
        <v>0</v>
      </c>
      <c r="AK45" s="235"/>
      <c r="AL45" s="217"/>
      <c r="AM45" s="206"/>
      <c r="AN45" s="206"/>
      <c r="AO45" s="206"/>
      <c r="AP45" s="206"/>
      <c r="AQ45" s="206"/>
      <c r="AR45" s="206"/>
      <c r="AS45" s="206">
        <v>8773615</v>
      </c>
      <c r="AT45" s="206"/>
      <c r="AU45" s="206"/>
      <c r="AV45" s="227"/>
      <c r="AW45" s="228">
        <f t="shared" si="9"/>
        <v>8773615</v>
      </c>
      <c r="AX45" s="431">
        <f t="shared" si="6"/>
        <v>11110314</v>
      </c>
    </row>
    <row r="46" spans="1:50" ht="15">
      <c r="A46" s="18">
        <v>13</v>
      </c>
      <c r="B46" s="7" t="s">
        <v>80</v>
      </c>
      <c r="C46" s="147"/>
      <c r="D46" s="13"/>
      <c r="E46" s="138"/>
      <c r="F46" s="139"/>
      <c r="G46" s="344"/>
      <c r="H46" s="319">
        <f t="shared" si="7"/>
        <v>0</v>
      </c>
      <c r="I46" s="154"/>
      <c r="J46" s="12"/>
      <c r="K46" s="154"/>
      <c r="L46" s="206"/>
      <c r="M46" s="9"/>
      <c r="N46" s="9"/>
      <c r="O46" s="33"/>
      <c r="P46" s="212"/>
      <c r="Q46" s="33"/>
      <c r="R46" s="33"/>
      <c r="S46" s="33"/>
      <c r="T46" s="21"/>
      <c r="U46" s="42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6"/>
        <v>0</v>
      </c>
    </row>
    <row r="47" spans="1:50" ht="15">
      <c r="A47" s="573">
        <v>14</v>
      </c>
      <c r="B47" s="575" t="s">
        <v>81</v>
      </c>
      <c r="C47" s="576">
        <v>1910</v>
      </c>
      <c r="D47" s="577">
        <v>10051910</v>
      </c>
      <c r="E47" s="578">
        <f>+D47*E31</f>
        <v>7036337</v>
      </c>
      <c r="F47" s="579">
        <f>+D47*F31</f>
        <v>3015573</v>
      </c>
      <c r="G47" s="582"/>
      <c r="H47" s="319">
        <f t="shared" si="7"/>
        <v>10051910</v>
      </c>
      <c r="I47" s="154"/>
      <c r="J47" s="12"/>
      <c r="K47" s="154">
        <v>7036337</v>
      </c>
      <c r="L47" s="206"/>
      <c r="M47" s="9"/>
      <c r="N47" s="9"/>
      <c r="O47" s="33"/>
      <c r="P47" s="212"/>
      <c r="Q47" s="33"/>
      <c r="R47" s="33">
        <v>3015573</v>
      </c>
      <c r="S47" s="33"/>
      <c r="T47" s="21"/>
      <c r="U47" s="68"/>
      <c r="V47" s="206"/>
      <c r="W47" s="206">
        <v>7036337</v>
      </c>
      <c r="X47" s="206"/>
      <c r="Y47" s="206"/>
      <c r="Z47" s="206"/>
      <c r="AA47" s="206"/>
      <c r="AB47" s="206"/>
      <c r="AC47" s="206"/>
      <c r="AD47" s="206">
        <v>3015573</v>
      </c>
      <c r="AE47" s="206"/>
      <c r="AF47" s="206"/>
      <c r="AG47" s="219">
        <f t="shared" si="8"/>
        <v>10051910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0">SUM(AK47:AV47)</f>
        <v>0</v>
      </c>
      <c r="AX47" s="431">
        <f t="shared" si="6"/>
        <v>10051910</v>
      </c>
    </row>
    <row r="48" spans="1:50" ht="15">
      <c r="A48" s="573">
        <v>15</v>
      </c>
      <c r="B48" s="575" t="s">
        <v>82</v>
      </c>
      <c r="C48" s="576" t="s">
        <v>213</v>
      </c>
      <c r="D48" s="577">
        <f>26814300+15426060</f>
        <v>42240360</v>
      </c>
      <c r="E48" s="578">
        <f>+D48*G31</f>
        <v>3520030</v>
      </c>
      <c r="F48" s="579">
        <f>+D48*G31</f>
        <v>3520030</v>
      </c>
      <c r="G48" s="580">
        <f>+D48*G31</f>
        <v>3520030</v>
      </c>
      <c r="H48" s="319">
        <f t="shared" si="7"/>
        <v>42240360</v>
      </c>
      <c r="I48" s="154"/>
      <c r="J48" s="12"/>
      <c r="K48" s="154">
        <v>6703575</v>
      </c>
      <c r="L48" s="206">
        <v>2234525</v>
      </c>
      <c r="M48" s="9">
        <v>2234525</v>
      </c>
      <c r="N48" s="9">
        <v>2234525</v>
      </c>
      <c r="O48" s="33">
        <v>2234525</v>
      </c>
      <c r="P48" s="212">
        <v>2234525</v>
      </c>
      <c r="Q48" s="33">
        <v>17660585</v>
      </c>
      <c r="R48" s="33">
        <v>2234525</v>
      </c>
      <c r="S48" s="33">
        <v>2234525</v>
      </c>
      <c r="T48" s="21">
        <v>2234525</v>
      </c>
      <c r="U48" s="68"/>
      <c r="V48" s="206"/>
      <c r="W48" s="206">
        <v>6703575</v>
      </c>
      <c r="X48" s="206">
        <v>2234525</v>
      </c>
      <c r="Y48" s="206">
        <v>2234525</v>
      </c>
      <c r="Z48" s="206"/>
      <c r="AA48" s="206"/>
      <c r="AB48" s="206">
        <f>4469050+2234525</f>
        <v>6703575</v>
      </c>
      <c r="AC48" s="206">
        <v>17660585</v>
      </c>
      <c r="AD48" s="206"/>
      <c r="AE48" s="206"/>
      <c r="AF48" s="206"/>
      <c r="AG48" s="219">
        <f t="shared" si="8"/>
        <v>35536785</v>
      </c>
      <c r="AH48" s="124">
        <f t="shared" si="5"/>
        <v>6703575</v>
      </c>
      <c r="AI48" s="170"/>
      <c r="AK48" s="235">
        <v>0</v>
      </c>
      <c r="AL48" s="206">
        <v>1043685</v>
      </c>
      <c r="AM48" s="206"/>
      <c r="AN48" s="206"/>
      <c r="AO48" s="206"/>
      <c r="AP48" s="206"/>
      <c r="AQ48" s="206"/>
      <c r="AR48" s="206">
        <v>16254284</v>
      </c>
      <c r="AS48" s="206"/>
      <c r="AT48" s="206">
        <v>10430000</v>
      </c>
      <c r="AU48" s="206"/>
      <c r="AV48" s="227">
        <v>444500</v>
      </c>
      <c r="AW48" s="228">
        <f t="shared" si="10"/>
        <v>28172469</v>
      </c>
      <c r="AX48" s="431">
        <f t="shared" si="6"/>
        <v>7364316</v>
      </c>
    </row>
    <row r="49" spans="1:50" ht="15">
      <c r="A49" s="573">
        <v>16</v>
      </c>
      <c r="B49" s="575" t="s">
        <v>83</v>
      </c>
      <c r="C49" s="576">
        <v>1839</v>
      </c>
      <c r="D49" s="577">
        <v>21530304</v>
      </c>
      <c r="E49" s="578">
        <f>+D49*E31</f>
        <v>15071212.799999999</v>
      </c>
      <c r="F49" s="579">
        <f>+D49*F31</f>
        <v>6459091.2000000002</v>
      </c>
      <c r="G49" s="582"/>
      <c r="H49" s="319">
        <f t="shared" si="7"/>
        <v>21530303.799999997</v>
      </c>
      <c r="I49" s="154"/>
      <c r="J49" s="12"/>
      <c r="K49" s="154">
        <v>15071212.799999999</v>
      </c>
      <c r="L49" s="206"/>
      <c r="M49" s="9"/>
      <c r="N49" s="9"/>
      <c r="O49" s="33"/>
      <c r="P49" s="212"/>
      <c r="Q49" s="33"/>
      <c r="R49" s="33">
        <v>6459091</v>
      </c>
      <c r="S49" s="33"/>
      <c r="T49" s="21"/>
      <c r="U49" s="68"/>
      <c r="V49" s="206"/>
      <c r="W49" s="206">
        <v>15071213</v>
      </c>
      <c r="X49" s="206"/>
      <c r="Y49" s="206"/>
      <c r="Z49" s="206"/>
      <c r="AA49" s="206"/>
      <c r="AB49" s="206"/>
      <c r="AC49" s="206"/>
      <c r="AD49" s="206"/>
      <c r="AE49" s="206">
        <v>6459091</v>
      </c>
      <c r="AF49" s="206"/>
      <c r="AG49" s="219">
        <f t="shared" si="8"/>
        <v>21530304</v>
      </c>
      <c r="AH49" s="124">
        <f t="shared" si="5"/>
        <v>-0.20000000298023224</v>
      </c>
      <c r="AK49" s="235"/>
      <c r="AL49" s="206"/>
      <c r="AM49" s="206"/>
      <c r="AN49" s="206"/>
      <c r="AO49" s="206"/>
      <c r="AP49" s="206"/>
      <c r="AQ49" s="206"/>
      <c r="AR49" s="206"/>
      <c r="AS49" s="206">
        <v>14092313</v>
      </c>
      <c r="AT49" s="206">
        <v>1589802</v>
      </c>
      <c r="AU49" s="206"/>
      <c r="AV49" s="227">
        <v>2305675</v>
      </c>
      <c r="AW49" s="228">
        <f t="shared" si="10"/>
        <v>17987790</v>
      </c>
      <c r="AX49" s="431">
        <f t="shared" si="6"/>
        <v>3542514</v>
      </c>
    </row>
    <row r="50" spans="1:50" ht="15">
      <c r="A50" s="573">
        <v>17</v>
      </c>
      <c r="B50" s="575" t="s">
        <v>95</v>
      </c>
      <c r="C50" s="576">
        <v>1236</v>
      </c>
      <c r="D50" s="577">
        <v>1832610</v>
      </c>
      <c r="E50" s="578">
        <f>+D50*$E$31</f>
        <v>1282827</v>
      </c>
      <c r="F50" s="579">
        <f>+D50*$F$31</f>
        <v>549783</v>
      </c>
      <c r="G50" s="669">
        <f>+D50-H50</f>
        <v>0</v>
      </c>
      <c r="H50" s="319">
        <f t="shared" si="7"/>
        <v>1832610</v>
      </c>
      <c r="I50" s="154"/>
      <c r="J50" s="12"/>
      <c r="K50" s="154">
        <v>1282827</v>
      </c>
      <c r="L50" s="206"/>
      <c r="M50" s="9"/>
      <c r="N50" s="9"/>
      <c r="O50" s="33"/>
      <c r="P50" s="212"/>
      <c r="Q50" s="33"/>
      <c r="R50" s="143">
        <v>549783</v>
      </c>
      <c r="S50" s="33"/>
      <c r="T50" s="21"/>
      <c r="U50" s="68"/>
      <c r="V50" s="206"/>
      <c r="W50" s="206">
        <v>1282827</v>
      </c>
      <c r="X50" s="206"/>
      <c r="Y50" s="206"/>
      <c r="Z50" s="206"/>
      <c r="AA50" s="206"/>
      <c r="AB50" s="206"/>
      <c r="AC50" s="206"/>
      <c r="AD50" s="206">
        <v>549783</v>
      </c>
      <c r="AE50" s="206"/>
      <c r="AF50" s="206"/>
      <c r="AG50" s="219">
        <f t="shared" si="8"/>
        <v>1832610</v>
      </c>
      <c r="AH50" s="124">
        <f t="shared" si="5"/>
        <v>0</v>
      </c>
      <c r="AI50" s="6"/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0"/>
        <v>0</v>
      </c>
      <c r="AX50" s="431">
        <f t="shared" si="6"/>
        <v>1832610</v>
      </c>
    </row>
    <row r="51" spans="1:50" ht="15">
      <c r="A51" s="573">
        <v>18</v>
      </c>
      <c r="B51" s="575" t="s">
        <v>96</v>
      </c>
      <c r="C51" s="576">
        <v>1236</v>
      </c>
      <c r="D51" s="577">
        <v>21991320</v>
      </c>
      <c r="E51" s="578">
        <f>+D51*$E$31</f>
        <v>15393923.999999998</v>
      </c>
      <c r="F51" s="579">
        <f>+D51*$F$31</f>
        <v>6597396</v>
      </c>
      <c r="G51" s="669">
        <f>+D51-H51</f>
        <v>0</v>
      </c>
      <c r="H51" s="319">
        <f t="shared" si="7"/>
        <v>21991320</v>
      </c>
      <c r="I51" s="154"/>
      <c r="J51" s="12"/>
      <c r="K51" s="154">
        <v>15393923.999999998</v>
      </c>
      <c r="L51" s="206"/>
      <c r="M51" s="9"/>
      <c r="N51" s="9"/>
      <c r="O51" s="33"/>
      <c r="P51" s="212"/>
      <c r="Q51" s="33"/>
      <c r="R51" s="143">
        <v>2077735</v>
      </c>
      <c r="S51" s="33">
        <v>4519661</v>
      </c>
      <c r="T51" s="21"/>
      <c r="U51" s="68"/>
      <c r="V51" s="206"/>
      <c r="W51" s="206">
        <v>15393923.999999998</v>
      </c>
      <c r="X51" s="206"/>
      <c r="Y51" s="206"/>
      <c r="Z51" s="206"/>
      <c r="AA51" s="206"/>
      <c r="AB51" s="206"/>
      <c r="AC51" s="206"/>
      <c r="AD51" s="206">
        <v>2077735</v>
      </c>
      <c r="AE51" s="206">
        <v>4519661</v>
      </c>
      <c r="AF51" s="206"/>
      <c r="AG51" s="219">
        <f t="shared" si="8"/>
        <v>21991320</v>
      </c>
      <c r="AH51" s="124">
        <f t="shared" si="5"/>
        <v>0</v>
      </c>
      <c r="AI51" s="6"/>
      <c r="AK51" s="235"/>
      <c r="AL51" s="206"/>
      <c r="AM51" s="206"/>
      <c r="AN51" s="206"/>
      <c r="AO51" s="206"/>
      <c r="AP51" s="206"/>
      <c r="AQ51" s="206"/>
      <c r="AR51" s="206"/>
      <c r="AS51" s="206">
        <v>15107076</v>
      </c>
      <c r="AT51" s="206"/>
      <c r="AU51" s="206"/>
      <c r="AV51" s="227"/>
      <c r="AW51" s="228">
        <f t="shared" si="10"/>
        <v>15107076</v>
      </c>
      <c r="AX51" s="431">
        <f t="shared" si="6"/>
        <v>6884244</v>
      </c>
    </row>
    <row r="52" spans="1:50" ht="15">
      <c r="A52" s="573">
        <v>19</v>
      </c>
      <c r="B52" s="575" t="s">
        <v>97</v>
      </c>
      <c r="C52" s="576">
        <v>1236</v>
      </c>
      <c r="D52" s="577">
        <v>1653522</v>
      </c>
      <c r="E52" s="578">
        <f>+D52*$E$31</f>
        <v>1157465.3999999999</v>
      </c>
      <c r="F52" s="579">
        <f>+D52*$F$31</f>
        <v>496056.6</v>
      </c>
      <c r="G52" s="669">
        <f>+D52-H52</f>
        <v>0</v>
      </c>
      <c r="H52" s="319">
        <f t="shared" si="7"/>
        <v>1653522</v>
      </c>
      <c r="I52" s="154"/>
      <c r="J52" s="12"/>
      <c r="K52" s="154">
        <v>1157465.3999999999</v>
      </c>
      <c r="L52" s="206"/>
      <c r="M52" s="9"/>
      <c r="N52" s="9"/>
      <c r="O52" s="33"/>
      <c r="P52" s="212"/>
      <c r="Q52" s="33"/>
      <c r="R52" s="143">
        <v>496056.6</v>
      </c>
      <c r="S52" s="33"/>
      <c r="T52" s="21"/>
      <c r="U52" s="68"/>
      <c r="V52" s="206"/>
      <c r="W52" s="206">
        <v>1157465.3999999999</v>
      </c>
      <c r="X52" s="206"/>
      <c r="Y52" s="206"/>
      <c r="Z52" s="206"/>
      <c r="AA52" s="206"/>
      <c r="AB52" s="206"/>
      <c r="AC52" s="206"/>
      <c r="AD52" s="206">
        <v>496056.6</v>
      </c>
      <c r="AE52" s="206"/>
      <c r="AF52" s="206"/>
      <c r="AG52" s="219">
        <f t="shared" si="8"/>
        <v>1653522</v>
      </c>
      <c r="AH52" s="124">
        <f t="shared" si="5"/>
        <v>0</v>
      </c>
      <c r="AI52" s="6"/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0"/>
        <v>0</v>
      </c>
      <c r="AX52" s="431">
        <f t="shared" si="6"/>
        <v>1653522</v>
      </c>
    </row>
    <row r="53" spans="1:50" ht="15">
      <c r="A53" s="573">
        <v>20</v>
      </c>
      <c r="B53" s="575" t="s">
        <v>98</v>
      </c>
      <c r="C53" s="576">
        <v>1236</v>
      </c>
      <c r="D53" s="577">
        <v>1362218</v>
      </c>
      <c r="E53" s="578">
        <f>+D53*$E$31</f>
        <v>953552.6</v>
      </c>
      <c r="F53" s="579">
        <f>+D53*$F$31</f>
        <v>408665.39999999997</v>
      </c>
      <c r="G53" s="669">
        <f>+D53-H53</f>
        <v>0</v>
      </c>
      <c r="H53" s="319">
        <f t="shared" si="7"/>
        <v>1362218</v>
      </c>
      <c r="I53" s="154"/>
      <c r="J53" s="12"/>
      <c r="K53" s="154">
        <v>953552.6</v>
      </c>
      <c r="L53" s="206"/>
      <c r="M53" s="9"/>
      <c r="N53" s="9"/>
      <c r="O53" s="33"/>
      <c r="P53" s="212"/>
      <c r="Q53" s="33"/>
      <c r="R53" s="143">
        <v>408665.39999999997</v>
      </c>
      <c r="S53" s="33"/>
      <c r="T53" s="21"/>
      <c r="U53" s="68"/>
      <c r="V53" s="206"/>
      <c r="W53" s="206">
        <v>953552.6</v>
      </c>
      <c r="X53" s="206"/>
      <c r="Y53" s="206"/>
      <c r="Z53" s="206"/>
      <c r="AA53" s="206"/>
      <c r="AB53" s="206"/>
      <c r="AC53" s="206"/>
      <c r="AD53" s="206">
        <v>408665.39999999997</v>
      </c>
      <c r="AE53" s="206"/>
      <c r="AF53" s="206"/>
      <c r="AG53" s="219">
        <f t="shared" si="8"/>
        <v>1362218</v>
      </c>
      <c r="AH53" s="124">
        <f t="shared" si="5"/>
        <v>0</v>
      </c>
      <c r="AI53" s="6"/>
      <c r="AJ53" s="170"/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0"/>
        <v>0</v>
      </c>
      <c r="AX53" s="431">
        <f t="shared" si="6"/>
        <v>1362218</v>
      </c>
    </row>
    <row r="54" spans="1:50" ht="15">
      <c r="A54" s="18">
        <v>21</v>
      </c>
      <c r="B54" s="7" t="s">
        <v>84</v>
      </c>
      <c r="C54" s="147"/>
      <c r="D54" s="13"/>
      <c r="E54" s="138"/>
      <c r="F54" s="139"/>
      <c r="G54" s="344"/>
      <c r="H54" s="319">
        <f t="shared" si="7"/>
        <v>0</v>
      </c>
      <c r="I54" s="154"/>
      <c r="J54" s="12"/>
      <c r="K54" s="154"/>
      <c r="L54" s="206"/>
      <c r="M54" s="9"/>
      <c r="N54" s="9"/>
      <c r="O54" s="33"/>
      <c r="P54" s="212"/>
      <c r="Q54" s="33"/>
      <c r="R54" s="33"/>
      <c r="S54" s="33"/>
      <c r="T54" s="21"/>
      <c r="U54" s="68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19">
        <f t="shared" si="8"/>
        <v>0</v>
      </c>
      <c r="AH54" s="124">
        <f t="shared" si="5"/>
        <v>0</v>
      </c>
      <c r="AI54" s="170"/>
      <c r="AJ54" s="170"/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0"/>
        <v>0</v>
      </c>
      <c r="AX54" s="431">
        <f t="shared" si="6"/>
        <v>0</v>
      </c>
    </row>
    <row r="55" spans="1:50" ht="15">
      <c r="A55" s="573">
        <v>22</v>
      </c>
      <c r="B55" s="575" t="s">
        <v>85</v>
      </c>
      <c r="C55" s="576">
        <v>2616</v>
      </c>
      <c r="D55" s="577">
        <v>6548268</v>
      </c>
      <c r="E55" s="578">
        <f>+D55*E31</f>
        <v>4583787.5999999996</v>
      </c>
      <c r="F55" s="579">
        <f>+D55*F31</f>
        <v>1964480.4</v>
      </c>
      <c r="G55" s="582"/>
      <c r="H55" s="319">
        <f t="shared" si="7"/>
        <v>6548268</v>
      </c>
      <c r="I55" s="154"/>
      <c r="J55" s="12"/>
      <c r="K55" s="154"/>
      <c r="L55" s="206"/>
      <c r="M55" s="9">
        <v>4583787</v>
      </c>
      <c r="N55" s="9"/>
      <c r="O55" s="33"/>
      <c r="P55" s="212"/>
      <c r="Q55" s="33"/>
      <c r="R55" s="33">
        <v>1964481</v>
      </c>
      <c r="S55" s="33"/>
      <c r="T55" s="21"/>
      <c r="U55" s="68"/>
      <c r="V55" s="206"/>
      <c r="W55" s="206"/>
      <c r="X55" s="206"/>
      <c r="Y55" s="206">
        <v>4583787</v>
      </c>
      <c r="Z55" s="206"/>
      <c r="AA55" s="206"/>
      <c r="AB55" s="206"/>
      <c r="AC55" s="206"/>
      <c r="AD55" s="206">
        <v>1964481</v>
      </c>
      <c r="AE55" s="206"/>
      <c r="AF55" s="206"/>
      <c r="AG55" s="219">
        <f t="shared" si="8"/>
        <v>6548268</v>
      </c>
      <c r="AH55" s="124">
        <f t="shared" si="5"/>
        <v>0</v>
      </c>
      <c r="AK55" s="235">
        <v>0</v>
      </c>
      <c r="AL55" s="206">
        <v>527419</v>
      </c>
      <c r="AM55" s="206"/>
      <c r="AN55" s="206"/>
      <c r="AO55" s="206"/>
      <c r="AP55" s="206"/>
      <c r="AQ55" s="206">
        <v>2734570</v>
      </c>
      <c r="AR55" s="206"/>
      <c r="AS55" s="206">
        <v>1281292</v>
      </c>
      <c r="AT55" s="206">
        <v>878087</v>
      </c>
      <c r="AU55" s="206"/>
      <c r="AV55" s="227">
        <v>546914</v>
      </c>
      <c r="AW55" s="228">
        <f t="shared" si="10"/>
        <v>5968282</v>
      </c>
      <c r="AX55" s="431">
        <f t="shared" si="6"/>
        <v>579986</v>
      </c>
    </row>
    <row r="56" spans="1:50" ht="15">
      <c r="A56" s="18">
        <v>23</v>
      </c>
      <c r="B56" s="7" t="s">
        <v>86</v>
      </c>
      <c r="C56" s="147"/>
      <c r="D56" s="13"/>
      <c r="E56" s="138"/>
      <c r="F56" s="139"/>
      <c r="G56" s="344"/>
      <c r="H56" s="319">
        <f t="shared" si="7"/>
        <v>0</v>
      </c>
      <c r="I56" s="154"/>
      <c r="J56" s="12"/>
      <c r="K56" s="154"/>
      <c r="L56" s="206"/>
      <c r="M56" s="9"/>
      <c r="N56" s="9"/>
      <c r="O56" s="33"/>
      <c r="P56" s="212"/>
      <c r="Q56" s="33"/>
      <c r="R56" s="33"/>
      <c r="S56" s="33"/>
      <c r="T56" s="21"/>
      <c r="U56" s="68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1">
        <f t="shared" si="6"/>
        <v>0</v>
      </c>
    </row>
    <row r="57" spans="1:50" ht="15">
      <c r="A57" s="18">
        <v>24</v>
      </c>
      <c r="B57" s="7" t="s">
        <v>87</v>
      </c>
      <c r="C57" s="147"/>
      <c r="D57" s="13"/>
      <c r="E57" s="138"/>
      <c r="F57" s="139"/>
      <c r="G57" s="344"/>
      <c r="H57" s="319">
        <f t="shared" si="7"/>
        <v>0</v>
      </c>
      <c r="I57" s="154"/>
      <c r="J57" s="12"/>
      <c r="K57" s="154"/>
      <c r="L57" s="206"/>
      <c r="M57" s="9"/>
      <c r="N57" s="9"/>
      <c r="O57" s="33"/>
      <c r="P57" s="212"/>
      <c r="Q57" s="33"/>
      <c r="R57" s="33"/>
      <c r="S57" s="33"/>
      <c r="T57" s="21"/>
      <c r="U57" s="68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8"/>
        <v>0</v>
      </c>
      <c r="AH57" s="124">
        <f t="shared" si="5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0"/>
        <v>0</v>
      </c>
      <c r="AX57" s="431">
        <f t="shared" si="6"/>
        <v>0</v>
      </c>
    </row>
    <row r="58" spans="1:50" s="190" customFormat="1" ht="15">
      <c r="A58" s="573">
        <v>25</v>
      </c>
      <c r="B58" s="595" t="s">
        <v>109</v>
      </c>
      <c r="C58" s="603">
        <v>2126</v>
      </c>
      <c r="D58" s="597">
        <v>1323944</v>
      </c>
      <c r="E58" s="598">
        <f>+D58*E31</f>
        <v>926760.79999999993</v>
      </c>
      <c r="F58" s="599">
        <f>+D58*F31</f>
        <v>397183.2</v>
      </c>
      <c r="G58" s="607"/>
      <c r="H58" s="349">
        <f t="shared" si="7"/>
        <v>1323944</v>
      </c>
      <c r="I58" s="188"/>
      <c r="J58" s="187"/>
      <c r="K58" s="188"/>
      <c r="L58" s="231">
        <v>926760</v>
      </c>
      <c r="M58" s="186"/>
      <c r="N58" s="186"/>
      <c r="O58" s="33"/>
      <c r="P58" s="212"/>
      <c r="Q58" s="33"/>
      <c r="R58" s="33">
        <v>397184</v>
      </c>
      <c r="S58" s="33"/>
      <c r="T58" s="21"/>
      <c r="U58" s="189"/>
      <c r="V58" s="231"/>
      <c r="W58" s="231"/>
      <c r="X58" s="231">
        <v>926760</v>
      </c>
      <c r="Y58" s="231"/>
      <c r="Z58" s="231"/>
      <c r="AA58" s="231"/>
      <c r="AB58" s="231"/>
      <c r="AC58" s="231"/>
      <c r="AD58" s="231">
        <v>397184</v>
      </c>
      <c r="AE58" s="231"/>
      <c r="AF58" s="231"/>
      <c r="AG58" s="359">
        <f t="shared" si="8"/>
        <v>1323944</v>
      </c>
      <c r="AH58" s="350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36"/>
      <c r="AW58" s="450">
        <f t="shared" si="10"/>
        <v>0</v>
      </c>
      <c r="AX58" s="431">
        <f t="shared" si="6"/>
        <v>1323944</v>
      </c>
    </row>
    <row r="59" spans="1:50" ht="15">
      <c r="A59" s="18">
        <v>26</v>
      </c>
      <c r="B59" s="7" t="s">
        <v>88</v>
      </c>
      <c r="C59" s="147"/>
      <c r="D59" s="13"/>
      <c r="E59" s="138"/>
      <c r="F59" s="139"/>
      <c r="G59" s="344"/>
      <c r="H59" s="319">
        <f t="shared" si="7"/>
        <v>0</v>
      </c>
      <c r="I59" s="154"/>
      <c r="J59" s="12"/>
      <c r="K59" s="154"/>
      <c r="L59" s="206"/>
      <c r="M59" s="9"/>
      <c r="N59" s="9"/>
      <c r="O59" s="33"/>
      <c r="P59" s="212"/>
      <c r="Q59" s="33"/>
      <c r="R59" s="33"/>
      <c r="S59" s="33"/>
      <c r="T59" s="21"/>
      <c r="U59" s="68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6"/>
        <v>0</v>
      </c>
    </row>
    <row r="60" spans="1:50" ht="15">
      <c r="A60" s="18">
        <v>27</v>
      </c>
      <c r="B60" s="7" t="s">
        <v>89</v>
      </c>
      <c r="C60" s="147"/>
      <c r="D60" s="13"/>
      <c r="E60" s="138"/>
      <c r="F60" s="139"/>
      <c r="G60" s="344"/>
      <c r="H60" s="319">
        <f t="shared" si="7"/>
        <v>0</v>
      </c>
      <c r="I60" s="154"/>
      <c r="J60" s="12"/>
      <c r="K60" s="154"/>
      <c r="L60" s="206"/>
      <c r="M60" s="9"/>
      <c r="N60" s="9"/>
      <c r="O60" s="33"/>
      <c r="P60" s="212"/>
      <c r="Q60" s="33"/>
      <c r="R60" s="33"/>
      <c r="S60" s="33"/>
      <c r="T60" s="21"/>
      <c r="U60" s="68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1">
        <f t="shared" si="6"/>
        <v>0</v>
      </c>
    </row>
    <row r="61" spans="1:50" ht="15">
      <c r="A61" s="18">
        <v>28</v>
      </c>
      <c r="B61" s="7" t="s">
        <v>110</v>
      </c>
      <c r="C61" s="147"/>
      <c r="D61" s="13"/>
      <c r="E61" s="138"/>
      <c r="F61" s="139"/>
      <c r="G61" s="344"/>
      <c r="H61" s="319">
        <f t="shared" si="7"/>
        <v>0</v>
      </c>
      <c r="I61" s="154"/>
      <c r="J61" s="12"/>
      <c r="K61" s="154"/>
      <c r="L61" s="206"/>
      <c r="M61" s="9"/>
      <c r="N61" s="9"/>
      <c r="O61" s="33"/>
      <c r="P61" s="212"/>
      <c r="Q61" s="33"/>
      <c r="R61" s="33"/>
      <c r="S61" s="33"/>
      <c r="T61" s="21"/>
      <c r="U61" s="68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1">
        <f t="shared" si="6"/>
        <v>0</v>
      </c>
    </row>
    <row r="62" spans="1:50" ht="15">
      <c r="A62" s="573">
        <v>29</v>
      </c>
      <c r="B62" s="575" t="s">
        <v>103</v>
      </c>
      <c r="C62" s="576">
        <v>1446</v>
      </c>
      <c r="D62" s="577">
        <v>22796910</v>
      </c>
      <c r="E62" s="687"/>
      <c r="F62" s="688"/>
      <c r="G62" s="582"/>
      <c r="H62" s="319">
        <f t="shared" si="7"/>
        <v>22796910</v>
      </c>
      <c r="I62" s="154"/>
      <c r="J62" s="12"/>
      <c r="K62" s="154">
        <v>22796910</v>
      </c>
      <c r="L62" s="206"/>
      <c r="M62" s="9"/>
      <c r="N62" s="9"/>
      <c r="O62" s="33"/>
      <c r="P62" s="212"/>
      <c r="Q62" s="33"/>
      <c r="R62" s="33"/>
      <c r="S62" s="33"/>
      <c r="T62" s="21"/>
      <c r="U62" s="68"/>
      <c r="V62" s="206"/>
      <c r="W62" s="206">
        <v>22796910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22796910</v>
      </c>
      <c r="AH62" s="124">
        <f t="shared" si="5"/>
        <v>0</v>
      </c>
      <c r="AK62" s="235">
        <v>0</v>
      </c>
      <c r="AL62" s="206">
        <v>7983533</v>
      </c>
      <c r="AM62" s="206"/>
      <c r="AN62" s="206"/>
      <c r="AO62" s="206"/>
      <c r="AP62" s="206"/>
      <c r="AQ62" s="206"/>
      <c r="AR62" s="206">
        <v>17303113</v>
      </c>
      <c r="AS62" s="206"/>
      <c r="AT62" s="206"/>
      <c r="AU62" s="206"/>
      <c r="AV62" s="227"/>
      <c r="AW62" s="228">
        <f t="shared" si="10"/>
        <v>25286646</v>
      </c>
      <c r="AX62" s="431">
        <f t="shared" si="6"/>
        <v>-2489736</v>
      </c>
    </row>
    <row r="63" spans="1:50" ht="15">
      <c r="A63" s="573">
        <v>30</v>
      </c>
      <c r="B63" s="575" t="s">
        <v>90</v>
      </c>
      <c r="C63" s="576">
        <v>2019</v>
      </c>
      <c r="D63" s="577">
        <v>33744139</v>
      </c>
      <c r="E63" s="578">
        <f>+D63*E31</f>
        <v>23620897.299999997</v>
      </c>
      <c r="F63" s="579">
        <f>+D63*F31</f>
        <v>10123241.699999999</v>
      </c>
      <c r="G63" s="582"/>
      <c r="H63" s="319">
        <f t="shared" si="7"/>
        <v>33744129</v>
      </c>
      <c r="I63" s="154"/>
      <c r="J63" s="12"/>
      <c r="K63" s="154"/>
      <c r="L63" s="206">
        <v>23620890</v>
      </c>
      <c r="M63" s="9"/>
      <c r="N63" s="9"/>
      <c r="O63" s="33"/>
      <c r="P63" s="212"/>
      <c r="Q63" s="33"/>
      <c r="R63" s="33">
        <v>10123239</v>
      </c>
      <c r="S63" s="33"/>
      <c r="T63" s="21"/>
      <c r="U63" s="68"/>
      <c r="V63" s="206"/>
      <c r="W63" s="206"/>
      <c r="X63" s="206">
        <v>23620890</v>
      </c>
      <c r="Y63" s="206"/>
      <c r="Z63" s="206"/>
      <c r="AA63" s="206"/>
      <c r="AB63" s="206"/>
      <c r="AC63" s="206"/>
      <c r="AD63" s="206">
        <v>10123239</v>
      </c>
      <c r="AE63" s="206"/>
      <c r="AF63" s="206"/>
      <c r="AG63" s="219">
        <f t="shared" si="8"/>
        <v>33744129</v>
      </c>
      <c r="AH63" s="124">
        <f t="shared" si="5"/>
        <v>0</v>
      </c>
      <c r="AK63" s="235">
        <v>0</v>
      </c>
      <c r="AL63" s="206">
        <v>1781738</v>
      </c>
      <c r="AM63" s="206"/>
      <c r="AN63" s="206"/>
      <c r="AO63" s="206"/>
      <c r="AP63" s="206"/>
      <c r="AQ63" s="206">
        <v>13151114</v>
      </c>
      <c r="AR63" s="206"/>
      <c r="AS63" s="206">
        <v>15397785</v>
      </c>
      <c r="AT63" s="206">
        <v>2143611</v>
      </c>
      <c r="AU63" s="206"/>
      <c r="AV63" s="227">
        <v>2036825</v>
      </c>
      <c r="AW63" s="228">
        <f t="shared" si="10"/>
        <v>34511073</v>
      </c>
      <c r="AX63" s="431">
        <f t="shared" si="6"/>
        <v>-766944</v>
      </c>
    </row>
    <row r="64" spans="1:50" ht="15">
      <c r="A64" s="18">
        <v>31</v>
      </c>
      <c r="B64" s="7" t="s">
        <v>91</v>
      </c>
      <c r="C64" s="147"/>
      <c r="D64" s="13"/>
      <c r="E64" s="138"/>
      <c r="F64" s="139"/>
      <c r="G64" s="344"/>
      <c r="H64" s="319">
        <f t="shared" si="7"/>
        <v>0</v>
      </c>
      <c r="I64" s="154"/>
      <c r="J64" s="12"/>
      <c r="K64" s="154"/>
      <c r="L64" s="206"/>
      <c r="M64" s="9"/>
      <c r="N64" s="9"/>
      <c r="O64" s="33"/>
      <c r="P64" s="212"/>
      <c r="Q64" s="33"/>
      <c r="R64" s="33"/>
      <c r="S64" s="33"/>
      <c r="T64" s="21"/>
      <c r="U64" s="68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1">
        <f t="shared" si="6"/>
        <v>0</v>
      </c>
    </row>
    <row r="65" spans="1:50" ht="15">
      <c r="A65" s="573">
        <v>32</v>
      </c>
      <c r="B65" s="575" t="s">
        <v>92</v>
      </c>
      <c r="C65" s="576">
        <v>1376</v>
      </c>
      <c r="D65" s="577">
        <v>1297016</v>
      </c>
      <c r="E65" s="578">
        <f>+D65*E31</f>
        <v>907911.2</v>
      </c>
      <c r="F65" s="579">
        <f>+D65*F31</f>
        <v>389104.8</v>
      </c>
      <c r="G65" s="582"/>
      <c r="H65" s="319">
        <f t="shared" si="7"/>
        <v>1297016</v>
      </c>
      <c r="I65" s="154"/>
      <c r="J65" s="12"/>
      <c r="K65" s="154">
        <v>907911.2</v>
      </c>
      <c r="L65" s="206"/>
      <c r="M65" s="9"/>
      <c r="N65" s="9"/>
      <c r="O65" s="33"/>
      <c r="P65" s="212"/>
      <c r="Q65" s="33"/>
      <c r="R65" s="33">
        <v>389104.80000000005</v>
      </c>
      <c r="S65" s="33"/>
      <c r="T65" s="21"/>
      <c r="U65" s="68"/>
      <c r="V65" s="206"/>
      <c r="W65" s="206">
        <v>907911</v>
      </c>
      <c r="X65" s="206"/>
      <c r="Y65" s="206"/>
      <c r="Z65" s="206"/>
      <c r="AA65" s="206"/>
      <c r="AB65" s="206"/>
      <c r="AC65" s="206"/>
      <c r="AD65" s="206">
        <v>389104.80000000005</v>
      </c>
      <c r="AE65" s="206"/>
      <c r="AF65" s="206"/>
      <c r="AG65" s="219">
        <f t="shared" si="8"/>
        <v>1297015.8</v>
      </c>
      <c r="AH65" s="124">
        <f t="shared" si="5"/>
        <v>0.19999999995343387</v>
      </c>
      <c r="AK65" s="235"/>
      <c r="AL65" s="206"/>
      <c r="AM65" s="206"/>
      <c r="AN65" s="206"/>
      <c r="AO65" s="206"/>
      <c r="AP65" s="206"/>
      <c r="AQ65" s="206"/>
      <c r="AR65" s="206"/>
      <c r="AS65" s="206">
        <v>1372032</v>
      </c>
      <c r="AT65" s="206"/>
      <c r="AU65" s="206"/>
      <c r="AV65" s="227"/>
      <c r="AW65" s="228">
        <f t="shared" si="10"/>
        <v>1372032</v>
      </c>
      <c r="AX65" s="431">
        <f t="shared" si="6"/>
        <v>-75016.199999999953</v>
      </c>
    </row>
    <row r="66" spans="1:50" ht="15">
      <c r="A66" s="18">
        <v>33</v>
      </c>
      <c r="B66" s="52" t="s">
        <v>107</v>
      </c>
      <c r="C66" s="148"/>
      <c r="D66" s="43"/>
      <c r="E66" s="174"/>
      <c r="F66" s="175"/>
      <c r="G66" s="345"/>
      <c r="H66" s="319">
        <f t="shared" si="7"/>
        <v>0</v>
      </c>
      <c r="I66" s="155"/>
      <c r="J66" s="54"/>
      <c r="K66" s="155"/>
      <c r="L66" s="210"/>
      <c r="M66" s="48"/>
      <c r="N66" s="48"/>
      <c r="O66" s="33"/>
      <c r="P66" s="212"/>
      <c r="Q66" s="33"/>
      <c r="R66" s="33"/>
      <c r="S66" s="33"/>
      <c r="T66" s="21"/>
      <c r="U66" s="177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1">
        <f t="shared" si="6"/>
        <v>0</v>
      </c>
    </row>
    <row r="67" spans="1:50" ht="15">
      <c r="A67" s="573">
        <v>34</v>
      </c>
      <c r="B67" s="568" t="s">
        <v>180</v>
      </c>
      <c r="C67" s="569" t="s">
        <v>303</v>
      </c>
      <c r="D67" s="567">
        <f>20108064+49102000+25782742+9423096</f>
        <v>104415902</v>
      </c>
      <c r="E67" s="563">
        <v>14075644.799999999</v>
      </c>
      <c r="F67" s="564">
        <v>6032419.2000000002</v>
      </c>
      <c r="G67" s="565">
        <f>49102000+25782742</f>
        <v>74884742</v>
      </c>
      <c r="H67" s="319">
        <f t="shared" si="7"/>
        <v>104415902</v>
      </c>
      <c r="I67" s="155"/>
      <c r="J67" s="54"/>
      <c r="K67" s="155">
        <v>14075644</v>
      </c>
      <c r="L67" s="210">
        <v>20295756</v>
      </c>
      <c r="M67" s="48">
        <v>33233773</v>
      </c>
      <c r="N67" s="48"/>
      <c r="O67" s="33"/>
      <c r="P67" s="212">
        <v>18047920</v>
      </c>
      <c r="Q67" s="33"/>
      <c r="R67" s="33">
        <f>7021262+2318451</f>
        <v>9339713</v>
      </c>
      <c r="S67" s="33">
        <v>9423096</v>
      </c>
      <c r="T67" s="21"/>
      <c r="U67" s="177"/>
      <c r="V67" s="210"/>
      <c r="W67" s="210">
        <v>14075644</v>
      </c>
      <c r="X67" s="210">
        <v>20295756</v>
      </c>
      <c r="Y67" s="210">
        <v>33233773</v>
      </c>
      <c r="Z67" s="210"/>
      <c r="AA67" s="210"/>
      <c r="AB67" s="210">
        <v>18047920</v>
      </c>
      <c r="AC67" s="210"/>
      <c r="AD67" s="210">
        <f>7021262+2318451</f>
        <v>9339713</v>
      </c>
      <c r="AE67" s="210">
        <v>9423096</v>
      </c>
      <c r="AF67" s="210"/>
      <c r="AG67" s="219">
        <f t="shared" si="8"/>
        <v>104415902</v>
      </c>
      <c r="AH67" s="124">
        <f t="shared" si="5"/>
        <v>0</v>
      </c>
      <c r="AK67" s="236"/>
      <c r="AL67" s="210"/>
      <c r="AM67" s="210"/>
      <c r="AN67" s="210"/>
      <c r="AO67" s="210"/>
      <c r="AP67" s="210"/>
      <c r="AQ67" s="210">
        <v>55805459</v>
      </c>
      <c r="AR67" s="210"/>
      <c r="AS67" s="210">
        <v>31782000</v>
      </c>
      <c r="AT67" s="210">
        <v>15521235</v>
      </c>
      <c r="AU67" s="210"/>
      <c r="AV67" s="229"/>
      <c r="AW67" s="228">
        <f t="shared" si="10"/>
        <v>103108694</v>
      </c>
      <c r="AX67" s="431">
        <f t="shared" si="6"/>
        <v>1307208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si="7"/>
        <v>0</v>
      </c>
      <c r="I68" s="155"/>
      <c r="J68" s="54"/>
      <c r="K68" s="155"/>
      <c r="L68" s="210"/>
      <c r="M68" s="48"/>
      <c r="N68" s="48"/>
      <c r="O68" s="33"/>
      <c r="P68" s="212"/>
      <c r="Q68" s="33"/>
      <c r="R68" s="33"/>
      <c r="S68" s="33"/>
      <c r="T68" s="21"/>
      <c r="U68" s="177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ref="AH68:AH82" si="12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3">SUM(AK68:AV68)</f>
        <v>0</v>
      </c>
      <c r="AX68" s="431">
        <f t="shared" si="6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19">
        <f t="shared" si="7"/>
        <v>0</v>
      </c>
      <c r="I69" s="155"/>
      <c r="J69" s="54"/>
      <c r="K69" s="155"/>
      <c r="L69" s="210"/>
      <c r="M69" s="48"/>
      <c r="N69" s="48"/>
      <c r="O69" s="33"/>
      <c r="P69" s="212"/>
      <c r="Q69" s="33"/>
      <c r="R69" s="33"/>
      <c r="S69" s="33"/>
      <c r="T69" s="21"/>
      <c r="U69" s="177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12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3"/>
        <v>0</v>
      </c>
      <c r="AX69" s="431">
        <f t="shared" si="6"/>
        <v>0</v>
      </c>
    </row>
    <row r="70" spans="1:50" ht="15">
      <c r="A70" s="573">
        <v>37</v>
      </c>
      <c r="B70" s="568" t="s">
        <v>132</v>
      </c>
      <c r="C70" s="569">
        <v>2252</v>
      </c>
      <c r="D70" s="567">
        <v>18004790</v>
      </c>
      <c r="E70" s="563">
        <f>+D70*0.5</f>
        <v>9002395</v>
      </c>
      <c r="F70" s="564">
        <f>+D70*0.25</f>
        <v>4501197.5</v>
      </c>
      <c r="G70" s="565">
        <f>+D70*0.25</f>
        <v>4501197.5</v>
      </c>
      <c r="H70" s="319">
        <f t="shared" si="7"/>
        <v>18004790</v>
      </c>
      <c r="I70" s="155"/>
      <c r="J70" s="54"/>
      <c r="K70" s="155"/>
      <c r="L70" s="210"/>
      <c r="M70" s="48">
        <v>9002395</v>
      </c>
      <c r="N70" s="48"/>
      <c r="O70" s="33"/>
      <c r="P70" s="212">
        <v>4501197</v>
      </c>
      <c r="Q70" s="33"/>
      <c r="R70" s="33">
        <v>4501198</v>
      </c>
      <c r="S70" s="33"/>
      <c r="T70" s="21"/>
      <c r="U70" s="177"/>
      <c r="V70" s="210"/>
      <c r="W70" s="210"/>
      <c r="X70" s="210"/>
      <c r="Y70" s="210">
        <v>9002395</v>
      </c>
      <c r="Z70" s="210"/>
      <c r="AA70" s="210"/>
      <c r="AB70" s="210"/>
      <c r="AC70" s="210">
        <v>4501197</v>
      </c>
      <c r="AD70" s="210">
        <v>4501198</v>
      </c>
      <c r="AE70" s="210"/>
      <c r="AF70" s="210"/>
      <c r="AG70" s="219">
        <f t="shared" si="11"/>
        <v>18004790</v>
      </c>
      <c r="AH70" s="124">
        <f t="shared" si="12"/>
        <v>0</v>
      </c>
      <c r="AK70" s="236"/>
      <c r="AL70" s="210"/>
      <c r="AM70" s="210"/>
      <c r="AN70" s="210"/>
      <c r="AO70" s="210"/>
      <c r="AP70" s="210"/>
      <c r="AQ70" s="210"/>
      <c r="AR70" s="210">
        <v>13738480</v>
      </c>
      <c r="AS70" s="210">
        <v>1962640</v>
      </c>
      <c r="AT70" s="210">
        <v>1962640</v>
      </c>
      <c r="AU70" s="210"/>
      <c r="AV70" s="229">
        <v>1962640</v>
      </c>
      <c r="AW70" s="228">
        <f t="shared" si="13"/>
        <v>19626400</v>
      </c>
      <c r="AX70" s="431">
        <f t="shared" si="6"/>
        <v>-1621610</v>
      </c>
    </row>
    <row r="71" spans="1:50" ht="15">
      <c r="A71" s="573">
        <v>38</v>
      </c>
      <c r="B71" s="568" t="s">
        <v>129</v>
      </c>
      <c r="C71" s="569">
        <v>2792</v>
      </c>
      <c r="D71" s="567">
        <v>1048583</v>
      </c>
      <c r="E71" s="563">
        <f>+D71*E31</f>
        <v>734008.1</v>
      </c>
      <c r="F71" s="564">
        <f>+D71*F31</f>
        <v>314574.89999999997</v>
      </c>
      <c r="G71" s="565"/>
      <c r="H71" s="319">
        <f t="shared" si="7"/>
        <v>1048583</v>
      </c>
      <c r="I71" s="155"/>
      <c r="J71" s="54"/>
      <c r="K71" s="155"/>
      <c r="L71" s="210"/>
      <c r="M71" s="48">
        <v>734008</v>
      </c>
      <c r="N71" s="48"/>
      <c r="O71" s="33"/>
      <c r="P71" s="212"/>
      <c r="Q71" s="33"/>
      <c r="R71" s="33"/>
      <c r="S71" s="33">
        <v>314575</v>
      </c>
      <c r="T71" s="21"/>
      <c r="U71" s="177"/>
      <c r="V71" s="210"/>
      <c r="W71" s="210"/>
      <c r="X71" s="210"/>
      <c r="Y71" s="210">
        <v>734008</v>
      </c>
      <c r="Z71" s="210"/>
      <c r="AA71" s="210"/>
      <c r="AB71" s="210"/>
      <c r="AC71" s="210"/>
      <c r="AD71" s="210"/>
      <c r="AE71" s="210">
        <v>314575</v>
      </c>
      <c r="AF71" s="210"/>
      <c r="AG71" s="219">
        <f t="shared" si="11"/>
        <v>1048583</v>
      </c>
      <c r="AH71" s="124">
        <f t="shared" si="12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>
        <v>1094800</v>
      </c>
      <c r="AW71" s="228">
        <f t="shared" si="13"/>
        <v>1094800</v>
      </c>
      <c r="AX71" s="431">
        <f t="shared" si="6"/>
        <v>-46217</v>
      </c>
    </row>
    <row r="72" spans="1:50" ht="15">
      <c r="A72" s="18">
        <v>39</v>
      </c>
      <c r="B72" s="52" t="s">
        <v>133</v>
      </c>
      <c r="C72" s="148"/>
      <c r="D72" s="43"/>
      <c r="E72" s="174"/>
      <c r="F72" s="175"/>
      <c r="G72" s="176"/>
      <c r="H72" s="319">
        <f t="shared" si="7"/>
        <v>0</v>
      </c>
      <c r="I72" s="155"/>
      <c r="J72" s="54"/>
      <c r="K72" s="155"/>
      <c r="L72" s="210"/>
      <c r="M72" s="48"/>
      <c r="N72" s="48"/>
      <c r="O72" s="33"/>
      <c r="P72" s="212"/>
      <c r="Q72" s="33"/>
      <c r="R72" s="33"/>
      <c r="S72" s="33"/>
      <c r="T72" s="21"/>
      <c r="U72" s="177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1"/>
        <v>0</v>
      </c>
      <c r="AH72" s="124">
        <f t="shared" si="12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3"/>
        <v>0</v>
      </c>
      <c r="AX72" s="431">
        <f t="shared" si="6"/>
        <v>0</v>
      </c>
    </row>
    <row r="73" spans="1:50" ht="15">
      <c r="A73" s="18">
        <v>40</v>
      </c>
      <c r="B73" s="52" t="s">
        <v>134</v>
      </c>
      <c r="C73" s="148"/>
      <c r="D73" s="43"/>
      <c r="E73" s="174"/>
      <c r="F73" s="175"/>
      <c r="G73" s="176"/>
      <c r="H73" s="319">
        <f t="shared" si="7"/>
        <v>0</v>
      </c>
      <c r="I73" s="155"/>
      <c r="J73" s="54"/>
      <c r="K73" s="155"/>
      <c r="L73" s="210"/>
      <c r="M73" s="48"/>
      <c r="N73" s="48"/>
      <c r="O73" s="33"/>
      <c r="P73" s="212"/>
      <c r="Q73" s="33"/>
      <c r="R73" s="33"/>
      <c r="S73" s="33"/>
      <c r="T73" s="21"/>
      <c r="U73" s="177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1"/>
        <v>0</v>
      </c>
      <c r="AH73" s="124">
        <f t="shared" si="12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3"/>
        <v>0</v>
      </c>
      <c r="AX73" s="431">
        <f t="shared" si="6"/>
        <v>0</v>
      </c>
    </row>
    <row r="74" spans="1:50" ht="15">
      <c r="A74" s="18">
        <v>41</v>
      </c>
      <c r="B74" s="52" t="s">
        <v>135</v>
      </c>
      <c r="C74" s="148"/>
      <c r="D74" s="43"/>
      <c r="E74" s="174"/>
      <c r="F74" s="175"/>
      <c r="G74" s="176"/>
      <c r="H74" s="319">
        <f t="shared" si="7"/>
        <v>0</v>
      </c>
      <c r="I74" s="155"/>
      <c r="J74" s="54"/>
      <c r="K74" s="155"/>
      <c r="L74" s="210"/>
      <c r="M74" s="48"/>
      <c r="N74" s="48"/>
      <c r="O74" s="33"/>
      <c r="P74" s="212"/>
      <c r="Q74" s="33"/>
      <c r="R74" s="33"/>
      <c r="S74" s="33"/>
      <c r="T74" s="21"/>
      <c r="U74" s="177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1"/>
        <v>0</v>
      </c>
      <c r="AH74" s="124">
        <f t="shared" si="12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3"/>
        <v>0</v>
      </c>
      <c r="AX74" s="431">
        <f t="shared" si="6"/>
        <v>0</v>
      </c>
    </row>
    <row r="75" spans="1:50" ht="15">
      <c r="A75" s="573">
        <v>42</v>
      </c>
      <c r="B75" s="568" t="s">
        <v>171</v>
      </c>
      <c r="C75" s="569">
        <v>3229</v>
      </c>
      <c r="D75" s="567">
        <v>2422015</v>
      </c>
      <c r="E75" s="736" t="s">
        <v>172</v>
      </c>
      <c r="F75" s="737"/>
      <c r="G75" s="738"/>
      <c r="H75" s="319">
        <f t="shared" si="7"/>
        <v>2422015</v>
      </c>
      <c r="I75" s="155"/>
      <c r="J75" s="54"/>
      <c r="K75" s="155"/>
      <c r="L75" s="210"/>
      <c r="M75" s="48"/>
      <c r="N75" s="48">
        <v>1695411</v>
      </c>
      <c r="O75" s="33"/>
      <c r="P75" s="212"/>
      <c r="Q75" s="33">
        <v>726604</v>
      </c>
      <c r="R75" s="33"/>
      <c r="S75" s="33"/>
      <c r="T75" s="21"/>
      <c r="U75" s="177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4">SUM(U75:AF75)</f>
        <v>0</v>
      </c>
      <c r="AH75" s="124">
        <f t="shared" si="12"/>
        <v>2422015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5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9">
        <v>3230</v>
      </c>
      <c r="D76" s="567">
        <v>4245150</v>
      </c>
      <c r="E76" s="736" t="s">
        <v>172</v>
      </c>
      <c r="F76" s="737"/>
      <c r="G76" s="738"/>
      <c r="H76" s="319">
        <f t="shared" si="7"/>
        <v>4245150</v>
      </c>
      <c r="I76" s="155"/>
      <c r="J76" s="54"/>
      <c r="K76" s="155"/>
      <c r="L76" s="210"/>
      <c r="M76" s="48"/>
      <c r="N76" s="48">
        <v>2971605</v>
      </c>
      <c r="O76" s="33"/>
      <c r="P76" s="212"/>
      <c r="Q76" s="33"/>
      <c r="R76" s="33"/>
      <c r="S76" s="33">
        <v>1273545</v>
      </c>
      <c r="T76" s="21"/>
      <c r="U76" s="177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4"/>
        <v>0</v>
      </c>
      <c r="AH76" s="124">
        <f t="shared" si="12"/>
        <v>4245150</v>
      </c>
      <c r="AI76" s="170">
        <f>+AH75+AH76</f>
        <v>6667165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5"/>
        <v>0</v>
      </c>
      <c r="AX76" s="431">
        <f t="shared" si="6"/>
        <v>0</v>
      </c>
    </row>
    <row r="77" spans="1:50" ht="15">
      <c r="A77" s="18">
        <v>44</v>
      </c>
      <c r="B77" s="52" t="s">
        <v>188</v>
      </c>
      <c r="C77" s="148"/>
      <c r="D77" s="43"/>
      <c r="E77" s="479"/>
      <c r="F77" s="480"/>
      <c r="G77" s="480"/>
      <c r="H77" s="319">
        <f t="shared" si="7"/>
        <v>0</v>
      </c>
      <c r="I77" s="155"/>
      <c r="J77" s="54"/>
      <c r="K77" s="155"/>
      <c r="L77" s="210"/>
      <c r="M77" s="48"/>
      <c r="N77" s="48"/>
      <c r="O77" s="33"/>
      <c r="P77" s="212"/>
      <c r="Q77" s="33"/>
      <c r="R77" s="33"/>
      <c r="S77" s="33"/>
      <c r="T77" s="21"/>
      <c r="U77" s="177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4"/>
        <v>0</v>
      </c>
      <c r="AH77" s="124">
        <f t="shared" si="12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5"/>
        <v>0</v>
      </c>
      <c r="AX77" s="431">
        <f t="shared" si="6"/>
        <v>0</v>
      </c>
    </row>
    <row r="78" spans="1:50" ht="15">
      <c r="A78" s="18">
        <v>45</v>
      </c>
      <c r="B78" s="52" t="s">
        <v>189</v>
      </c>
      <c r="C78" s="148"/>
      <c r="D78" s="43"/>
      <c r="E78" s="720" t="s">
        <v>172</v>
      </c>
      <c r="F78" s="721"/>
      <c r="G78" s="722"/>
      <c r="H78" s="319">
        <f t="shared" si="7"/>
        <v>0</v>
      </c>
      <c r="I78" s="155"/>
      <c r="J78" s="54"/>
      <c r="K78" s="155"/>
      <c r="L78" s="210"/>
      <c r="M78" s="48"/>
      <c r="N78" s="48"/>
      <c r="O78" s="33"/>
      <c r="P78" s="212"/>
      <c r="Q78" s="33"/>
      <c r="R78" s="33"/>
      <c r="S78" s="33"/>
      <c r="T78" s="21"/>
      <c r="U78" s="177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4"/>
        <v>0</v>
      </c>
      <c r="AH78" s="124">
        <f t="shared" si="12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5"/>
        <v>0</v>
      </c>
      <c r="AX78" s="431">
        <f>+AG78-AW78</f>
        <v>0</v>
      </c>
    </row>
    <row r="79" spans="1:50" ht="15">
      <c r="A79" s="573"/>
      <c r="B79" s="568" t="s">
        <v>205</v>
      </c>
      <c r="C79" s="569" t="s">
        <v>214</v>
      </c>
      <c r="D79" s="567">
        <v>6000000</v>
      </c>
      <c r="E79" s="624">
        <f>+D79*0.7</f>
        <v>4200000</v>
      </c>
      <c r="F79" s="625">
        <f>+D79*0.3</f>
        <v>1800000</v>
      </c>
      <c r="G79" s="625"/>
      <c r="H79" s="319">
        <f t="shared" si="7"/>
        <v>6000000</v>
      </c>
      <c r="I79" s="155"/>
      <c r="J79" s="54"/>
      <c r="K79" s="155"/>
      <c r="L79" s="210"/>
      <c r="M79" s="48"/>
      <c r="N79" s="48"/>
      <c r="O79" s="33"/>
      <c r="P79" s="212"/>
      <c r="Q79" s="33">
        <v>4200000</v>
      </c>
      <c r="R79" s="33">
        <v>1800000</v>
      </c>
      <c r="S79" s="33"/>
      <c r="T79" s="21"/>
      <c r="U79" s="177"/>
      <c r="V79" s="210"/>
      <c r="W79" s="210"/>
      <c r="X79" s="210"/>
      <c r="Y79" s="210"/>
      <c r="Z79" s="210"/>
      <c r="AA79" s="210"/>
      <c r="AB79" s="210"/>
      <c r="AC79" s="210">
        <v>4200000</v>
      </c>
      <c r="AD79" s="210">
        <v>1800000</v>
      </c>
      <c r="AE79" s="210"/>
      <c r="AF79" s="210"/>
      <c r="AG79" s="219">
        <f t="shared" si="14"/>
        <v>6000000</v>
      </c>
      <c r="AH79" s="124">
        <f t="shared" si="12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5"/>
        <v>0</v>
      </c>
      <c r="AX79" s="431">
        <f>+AG79-AW79</f>
        <v>6000000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345"/>
      <c r="H80" s="319">
        <f t="shared" si="7"/>
        <v>0</v>
      </c>
      <c r="I80" s="155"/>
      <c r="J80" s="54"/>
      <c r="K80" s="155"/>
      <c r="L80" s="210"/>
      <c r="M80" s="48"/>
      <c r="N80" s="48"/>
      <c r="O80" s="33"/>
      <c r="P80" s="212"/>
      <c r="Q80" s="33"/>
      <c r="R80" s="33"/>
      <c r="S80" s="33"/>
      <c r="T80" s="21"/>
      <c r="U80" s="177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4"/>
        <v>0</v>
      </c>
      <c r="AH80" s="124">
        <f t="shared" si="12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5"/>
        <v>0</v>
      </c>
      <c r="AX80" s="431">
        <f>+AG80-AW80</f>
        <v>0</v>
      </c>
    </row>
    <row r="81" spans="1:50" ht="15">
      <c r="A81" s="621"/>
      <c r="B81" s="568" t="s">
        <v>256</v>
      </c>
      <c r="C81" s="569" t="s">
        <v>259</v>
      </c>
      <c r="D81" s="567">
        <v>2815655</v>
      </c>
      <c r="E81" s="563">
        <f>+D81</f>
        <v>2815655</v>
      </c>
      <c r="F81" s="564"/>
      <c r="G81" s="623"/>
      <c r="H81" s="319">
        <f t="shared" si="7"/>
        <v>2815655</v>
      </c>
      <c r="I81" s="155"/>
      <c r="J81" s="54"/>
      <c r="K81" s="155"/>
      <c r="L81" s="210"/>
      <c r="M81" s="48"/>
      <c r="N81" s="48"/>
      <c r="O81" s="33"/>
      <c r="P81" s="212"/>
      <c r="Q81" s="33"/>
      <c r="R81" s="33">
        <v>2815655</v>
      </c>
      <c r="S81" s="33"/>
      <c r="T81" s="21"/>
      <c r="U81" s="177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219">
        <f t="shared" si="14"/>
        <v>2815655</v>
      </c>
      <c r="AH81" s="124">
        <f t="shared" si="12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5"/>
        <v>0</v>
      </c>
      <c r="AX81" s="431">
        <f>+AG81-AW81</f>
        <v>2815655</v>
      </c>
    </row>
    <row r="82" spans="1:50" ht="15.75" thickBot="1">
      <c r="A82" s="145"/>
      <c r="B82" s="52"/>
      <c r="C82" s="148"/>
      <c r="D82" s="43"/>
      <c r="E82" s="174"/>
      <c r="F82" s="175"/>
      <c r="G82" s="345"/>
      <c r="H82" s="319">
        <f t="shared" si="7"/>
        <v>0</v>
      </c>
      <c r="I82" s="155"/>
      <c r="J82" s="54"/>
      <c r="K82" s="155"/>
      <c r="L82" s="210"/>
      <c r="M82" s="48"/>
      <c r="N82" s="48"/>
      <c r="O82" s="33"/>
      <c r="P82" s="212"/>
      <c r="Q82" s="33"/>
      <c r="R82" s="33"/>
      <c r="S82" s="33"/>
      <c r="T82" s="21"/>
      <c r="U82" s="177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4"/>
        <v>0</v>
      </c>
      <c r="AH82" s="124">
        <f t="shared" si="12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5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373992983</v>
      </c>
      <c r="E83" s="86"/>
      <c r="F83" s="87"/>
      <c r="G83" s="88"/>
      <c r="H83" s="342">
        <f t="shared" ref="H83:AG83" si="16">SUM(H34:H82)</f>
        <v>376808628</v>
      </c>
      <c r="I83" s="116">
        <f t="shared" si="16"/>
        <v>0</v>
      </c>
      <c r="J83" s="117">
        <f t="shared" si="16"/>
        <v>0</v>
      </c>
      <c r="K83" s="117">
        <f t="shared" si="16"/>
        <v>135411174.30000001</v>
      </c>
      <c r="L83" s="256">
        <f t="shared" si="16"/>
        <v>47077931</v>
      </c>
      <c r="M83" s="117">
        <f t="shared" si="16"/>
        <v>49795488</v>
      </c>
      <c r="N83" s="117">
        <f t="shared" si="16"/>
        <v>6901541</v>
      </c>
      <c r="O83" s="117">
        <f t="shared" si="16"/>
        <v>2234525</v>
      </c>
      <c r="P83" s="256">
        <f t="shared" si="16"/>
        <v>24783642</v>
      </c>
      <c r="Q83" s="117">
        <f t="shared" si="16"/>
        <v>22587189</v>
      </c>
      <c r="R83" s="117">
        <f t="shared" si="16"/>
        <v>68017210.699999988</v>
      </c>
      <c r="S83" s="117">
        <f t="shared" si="16"/>
        <v>17765402</v>
      </c>
      <c r="T83" s="117">
        <f t="shared" si="16"/>
        <v>2234525</v>
      </c>
      <c r="U83" s="115">
        <f t="shared" si="16"/>
        <v>0</v>
      </c>
      <c r="V83" s="115">
        <f t="shared" si="16"/>
        <v>0</v>
      </c>
      <c r="W83" s="115">
        <f t="shared" si="16"/>
        <v>135411174.30000001</v>
      </c>
      <c r="X83" s="115">
        <f t="shared" si="16"/>
        <v>47077931</v>
      </c>
      <c r="Y83" s="115">
        <f t="shared" si="16"/>
        <v>49795488</v>
      </c>
      <c r="Z83" s="115">
        <f t="shared" si="16"/>
        <v>0</v>
      </c>
      <c r="AA83" s="115">
        <f>SUM(AA34:AA82)</f>
        <v>0</v>
      </c>
      <c r="AB83" s="115">
        <f>SUM(AB34:AB82)</f>
        <v>24751495</v>
      </c>
      <c r="AC83" s="115">
        <f>SUM(AC34:AC82)</f>
        <v>26361782</v>
      </c>
      <c r="AD83" s="115">
        <f t="shared" si="16"/>
        <v>59323594.699999996</v>
      </c>
      <c r="AE83" s="115">
        <f t="shared" si="16"/>
        <v>20716423</v>
      </c>
      <c r="AF83" s="115">
        <f t="shared" si="16"/>
        <v>0</v>
      </c>
      <c r="AG83" s="115">
        <f t="shared" si="16"/>
        <v>363437888</v>
      </c>
      <c r="AH83" s="125">
        <f>+H83-AG83</f>
        <v>13370740</v>
      </c>
      <c r="AK83" s="425">
        <f t="shared" ref="AK83:AX83" si="17">SUM(AK34:AK82)</f>
        <v>0</v>
      </c>
      <c r="AL83" s="424">
        <f t="shared" si="17"/>
        <v>11336375</v>
      </c>
      <c r="AM83" s="424">
        <f t="shared" si="17"/>
        <v>0</v>
      </c>
      <c r="AN83" s="424">
        <f t="shared" si="17"/>
        <v>0</v>
      </c>
      <c r="AO83" s="424">
        <f t="shared" si="17"/>
        <v>0</v>
      </c>
      <c r="AP83" s="424">
        <f t="shared" si="17"/>
        <v>0</v>
      </c>
      <c r="AQ83" s="424">
        <f t="shared" si="17"/>
        <v>71691143</v>
      </c>
      <c r="AR83" s="424">
        <f t="shared" si="17"/>
        <v>66513471</v>
      </c>
      <c r="AS83" s="424">
        <f t="shared" si="17"/>
        <v>97942373</v>
      </c>
      <c r="AT83" s="424">
        <f t="shared" si="17"/>
        <v>35297967</v>
      </c>
      <c r="AU83" s="424">
        <f t="shared" si="17"/>
        <v>0</v>
      </c>
      <c r="AV83" s="433">
        <f t="shared" si="17"/>
        <v>11163946</v>
      </c>
      <c r="AW83" s="447">
        <f t="shared" si="17"/>
        <v>293945275</v>
      </c>
      <c r="AX83" s="429">
        <f t="shared" si="17"/>
        <v>69492613</v>
      </c>
    </row>
    <row r="84" spans="1:50" s="376" customFormat="1" ht="15.75" thickBot="1">
      <c r="D84" s="377"/>
      <c r="E84" s="378"/>
      <c r="F84" s="378"/>
      <c r="G84" s="378"/>
      <c r="L84" s="379"/>
      <c r="P84" s="207"/>
      <c r="Q84" s="754" t="s">
        <v>146</v>
      </c>
      <c r="R84" s="755"/>
      <c r="S84" s="755"/>
      <c r="T84" s="755"/>
      <c r="U84" s="397">
        <v>3450397</v>
      </c>
      <c r="V84" s="396">
        <v>3450398</v>
      </c>
      <c r="W84" s="395">
        <v>3450399</v>
      </c>
      <c r="X84" s="396">
        <v>3450400</v>
      </c>
      <c r="Y84" s="395">
        <v>3454853</v>
      </c>
      <c r="Z84" s="396">
        <v>3467832</v>
      </c>
      <c r="AA84" s="395">
        <v>3480074</v>
      </c>
      <c r="AB84" s="396">
        <v>3491829</v>
      </c>
      <c r="AC84" s="395">
        <v>3510161</v>
      </c>
      <c r="AD84" s="396">
        <v>3513791</v>
      </c>
      <c r="AE84" s="395"/>
      <c r="AF84" s="395"/>
      <c r="AG84" s="379"/>
      <c r="AK84" s="207"/>
      <c r="AQ84" s="207"/>
      <c r="AR84" s="207"/>
      <c r="AS84" s="207"/>
      <c r="AW84" s="207"/>
    </row>
    <row r="85" spans="1:50" ht="15.75" thickBot="1">
      <c r="A85" s="761" t="s">
        <v>94</v>
      </c>
      <c r="B85" s="762"/>
      <c r="C85" s="763"/>
      <c r="D85" s="133">
        <f>+D83+D30</f>
        <v>1101939683</v>
      </c>
      <c r="E85" s="127"/>
      <c r="F85" s="128"/>
      <c r="G85" s="128"/>
      <c r="H85" s="129">
        <f>+H30</f>
        <v>817816231.94000006</v>
      </c>
      <c r="I85" s="130">
        <f t="shared" ref="I85:AH85" si="18">+I83+I30</f>
        <v>60662225</v>
      </c>
      <c r="J85" s="130">
        <f t="shared" si="18"/>
        <v>60690290</v>
      </c>
      <c r="K85" s="130">
        <f t="shared" si="18"/>
        <v>196087432.24000001</v>
      </c>
      <c r="L85" s="215">
        <f t="shared" si="18"/>
        <v>130097677</v>
      </c>
      <c r="M85" s="130">
        <f t="shared" si="18"/>
        <v>110471746</v>
      </c>
      <c r="N85" s="130">
        <f t="shared" si="18"/>
        <v>89648306</v>
      </c>
      <c r="O85" s="130">
        <f t="shared" si="18"/>
        <v>62910783</v>
      </c>
      <c r="P85" s="215">
        <f t="shared" si="18"/>
        <v>85459900</v>
      </c>
      <c r="Q85" s="130">
        <f t="shared" si="18"/>
        <v>105777378</v>
      </c>
      <c r="R85" s="130">
        <f t="shared" si="18"/>
        <v>128693468.69999999</v>
      </c>
      <c r="S85" s="130">
        <f t="shared" si="18"/>
        <v>78441660</v>
      </c>
      <c r="T85" s="131">
        <f t="shared" si="18"/>
        <v>85683994</v>
      </c>
      <c r="U85" s="129">
        <f t="shared" si="18"/>
        <v>60662225</v>
      </c>
      <c r="V85" s="215">
        <f t="shared" si="18"/>
        <v>60690290</v>
      </c>
      <c r="W85" s="285">
        <f t="shared" si="18"/>
        <v>196087432.30000001</v>
      </c>
      <c r="X85" s="242">
        <f t="shared" si="18"/>
        <v>130097677</v>
      </c>
      <c r="Y85" s="215">
        <f t="shared" si="18"/>
        <v>110471746</v>
      </c>
      <c r="Z85" s="285">
        <f t="shared" si="18"/>
        <v>82746765</v>
      </c>
      <c r="AA85" s="242">
        <f t="shared" si="18"/>
        <v>60676258</v>
      </c>
      <c r="AB85" s="215">
        <f t="shared" si="18"/>
        <v>85427753</v>
      </c>
      <c r="AC85" s="285">
        <f t="shared" si="18"/>
        <v>109551971</v>
      </c>
      <c r="AD85" s="242">
        <f t="shared" si="18"/>
        <v>119999852.69999999</v>
      </c>
      <c r="AE85" s="215">
        <f t="shared" si="18"/>
        <v>81392681</v>
      </c>
      <c r="AF85" s="285">
        <f t="shared" si="18"/>
        <v>83449469</v>
      </c>
      <c r="AG85" s="282">
        <f t="shared" si="18"/>
        <v>1181254120</v>
      </c>
      <c r="AH85" s="132">
        <f t="shared" si="18"/>
        <v>13370739.940000057</v>
      </c>
      <c r="AR85" s="170"/>
      <c r="AS85" s="473"/>
      <c r="AT85" s="170"/>
      <c r="AW85" s="207"/>
    </row>
    <row r="86" spans="1:50">
      <c r="AA86" s="207" t="s">
        <v>293</v>
      </c>
      <c r="AB86" s="207">
        <v>80958703</v>
      </c>
    </row>
    <row r="87" spans="1:50" ht="15" thickBot="1">
      <c r="D87" s="1"/>
      <c r="E87" s="1"/>
      <c r="F87" s="1"/>
      <c r="G87" s="1"/>
      <c r="AB87" s="207">
        <f>+AB85-AB86</f>
        <v>4469050</v>
      </c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317439947.30000001</v>
      </c>
    </row>
    <row r="90" spans="1:50">
      <c r="A90" s="276" t="s">
        <v>120</v>
      </c>
      <c r="B90" s="706" t="s">
        <v>124</v>
      </c>
      <c r="C90" s="707"/>
      <c r="D90" s="277">
        <f>+X85+Y85+Z85</f>
        <v>323316188</v>
      </c>
      <c r="X90" s="207">
        <v>323316188</v>
      </c>
    </row>
    <row r="91" spans="1:50">
      <c r="A91" s="276" t="s">
        <v>121</v>
      </c>
      <c r="B91" s="706" t="s">
        <v>125</v>
      </c>
      <c r="C91" s="707"/>
      <c r="D91" s="277">
        <f>+AA85+AB85+AC85</f>
        <v>255655982</v>
      </c>
      <c r="E91" s="299">
        <v>246685735</v>
      </c>
      <c r="F91" s="503">
        <f>+D91-E91</f>
        <v>8970247</v>
      </c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284842002.69999999</v>
      </c>
    </row>
    <row r="93" spans="1:50" ht="15.75" customHeight="1" thickBot="1">
      <c r="A93" s="756" t="s">
        <v>117</v>
      </c>
      <c r="B93" s="757"/>
      <c r="C93" s="757"/>
      <c r="D93" s="280">
        <f>SUM(D89:D92)</f>
        <v>1181254120</v>
      </c>
    </row>
    <row r="97" spans="2:5" ht="15">
      <c r="B97" s="509" t="s">
        <v>234</v>
      </c>
      <c r="E97" s="1"/>
    </row>
    <row r="98" spans="2:5">
      <c r="B98" s="700" t="s">
        <v>244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 t="s">
        <v>82</v>
      </c>
      <c r="D102" s="6">
        <v>4469050</v>
      </c>
    </row>
    <row r="103" spans="2:5" ht="15">
      <c r="C103" s="508" t="s">
        <v>236</v>
      </c>
      <c r="D103" s="511">
        <v>4501197</v>
      </c>
    </row>
    <row r="104" spans="2:5">
      <c r="D104" s="6">
        <f>SUM(D102:D103)</f>
        <v>8970247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BA104"/>
  <sheetViews>
    <sheetView topLeftCell="A28" zoomScale="70" zoomScaleNormal="70" workbookViewId="0">
      <selection activeCell="AF36" sqref="AF36"/>
    </sheetView>
  </sheetViews>
  <sheetFormatPr baseColWidth="10" defaultRowHeight="14.25"/>
  <cols>
    <col min="1" max="1" width="4.85546875" style="1" customWidth="1"/>
    <col min="2" max="2" width="38.5703125" style="1" bestFit="1" customWidth="1"/>
    <col min="3" max="3" width="18.140625" style="1" customWidth="1"/>
    <col min="4" max="4" width="21.5703125" style="6" customWidth="1"/>
    <col min="5" max="5" width="15.42578125" style="4" customWidth="1"/>
    <col min="6" max="6" width="15" style="4" customWidth="1"/>
    <col min="7" max="7" width="15.140625" style="4" customWidth="1"/>
    <col min="8" max="8" width="18.85546875" style="1" customWidth="1"/>
    <col min="9" max="9" width="18.28515625" style="1" hidden="1" customWidth="1"/>
    <col min="10" max="10" width="18.28515625" style="207" hidden="1" customWidth="1"/>
    <col min="11" max="11" width="17.85546875" style="207" hidden="1" customWidth="1"/>
    <col min="12" max="12" width="17.140625" style="207" hidden="1" customWidth="1"/>
    <col min="13" max="13" width="15.7109375" style="1" hidden="1" customWidth="1"/>
    <col min="14" max="14" width="19.28515625" style="1" hidden="1" customWidth="1"/>
    <col min="15" max="15" width="18.140625" style="1" hidden="1" customWidth="1"/>
    <col min="16" max="16" width="16.7109375" style="207" hidden="1" customWidth="1"/>
    <col min="17" max="17" width="19.28515625" style="1" hidden="1" customWidth="1"/>
    <col min="18" max="18" width="17.7109375" style="1" hidden="1" customWidth="1"/>
    <col min="19" max="19" width="15.42578125" style="1" customWidth="1"/>
    <col min="20" max="20" width="14.28515625" style="1" customWidth="1"/>
    <col min="21" max="21" width="17.85546875" style="1" hidden="1" customWidth="1"/>
    <col min="22" max="22" width="16" style="207" hidden="1" customWidth="1"/>
    <col min="23" max="23" width="13.7109375" style="207" hidden="1" customWidth="1"/>
    <col min="24" max="24" width="17.42578125" style="207" hidden="1" customWidth="1"/>
    <col min="25" max="25" width="16.5703125" style="207" hidden="1" customWidth="1"/>
    <col min="26" max="27" width="13" style="207" hidden="1" customWidth="1"/>
    <col min="28" max="28" width="16.5703125" style="207" hidden="1" customWidth="1"/>
    <col min="29" max="29" width="17.7109375" style="207" hidden="1" customWidth="1"/>
    <col min="30" max="30" width="16.7109375" style="207" hidden="1" customWidth="1"/>
    <col min="31" max="31" width="16.7109375" style="207" customWidth="1"/>
    <col min="32" max="32" width="15.42578125" style="207" customWidth="1"/>
    <col min="33" max="33" width="17" style="207" customWidth="1"/>
    <col min="34" max="34" width="18.5703125" style="1" customWidth="1"/>
    <col min="35" max="35" width="17.140625" style="1" customWidth="1"/>
    <col min="36" max="36" width="13.5703125" style="1" customWidth="1"/>
    <col min="37" max="40" width="11.42578125" style="1" hidden="1" customWidth="1"/>
    <col min="41" max="41" width="11.28515625" style="1" hidden="1" customWidth="1"/>
    <col min="42" max="42" width="11.42578125" style="1" hidden="1" customWidth="1"/>
    <col min="43" max="43" width="13.85546875" style="1" hidden="1" customWidth="1"/>
    <col min="44" max="44" width="14" style="1" hidden="1" customWidth="1"/>
    <col min="45" max="45" width="15.42578125" style="1" hidden="1" customWidth="1"/>
    <col min="46" max="46" width="13" style="1" hidden="1" customWidth="1"/>
    <col min="47" max="47" width="14.85546875" style="1" customWidth="1"/>
    <col min="48" max="48" width="19.140625" style="1" customWidth="1"/>
    <col min="49" max="49" width="16.42578125" style="1" customWidth="1"/>
    <col min="50" max="50" width="21" style="1" customWidth="1"/>
    <col min="51" max="51" width="15.28515625" style="1" bestFit="1" customWidth="1"/>
    <col min="52" max="52" width="11.42578125" style="1"/>
    <col min="53" max="53" width="16.140625" style="1" customWidth="1"/>
    <col min="54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55</v>
      </c>
    </row>
    <row r="11" spans="1:34">
      <c r="B11" s="3" t="s">
        <v>56</v>
      </c>
    </row>
    <row r="12" spans="1:34">
      <c r="B12" s="3" t="s">
        <v>70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0" t="s">
        <v>38</v>
      </c>
      <c r="I14" s="711"/>
      <c r="J14" s="711"/>
      <c r="K14" s="711"/>
      <c r="L14" s="711"/>
      <c r="M14" s="711"/>
      <c r="N14" s="747"/>
      <c r="O14" s="713"/>
      <c r="P14" s="713"/>
      <c r="Q14" s="713"/>
      <c r="R14" s="713"/>
      <c r="S14" s="713"/>
      <c r="T14" s="714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246" t="s">
        <v>13</v>
      </c>
      <c r="K15" s="246" t="s">
        <v>14</v>
      </c>
      <c r="L15" s="288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87387566*12</f>
        <v>1048650792</v>
      </c>
      <c r="E16" s="22"/>
      <c r="F16" s="23"/>
      <c r="G16" s="24"/>
      <c r="H16" s="318">
        <f>SUM(I16:T16)</f>
        <v>1048650672</v>
      </c>
      <c r="I16" s="153">
        <v>87387556</v>
      </c>
      <c r="J16" s="217">
        <v>87387556</v>
      </c>
      <c r="K16" s="217">
        <v>87387556</v>
      </c>
      <c r="L16" s="217">
        <v>87387556</v>
      </c>
      <c r="M16" s="33">
        <v>87387556</v>
      </c>
      <c r="N16" s="217">
        <v>87387556</v>
      </c>
      <c r="O16" s="33">
        <v>87387556</v>
      </c>
      <c r="P16" s="212">
        <v>87387556</v>
      </c>
      <c r="Q16" s="33">
        <v>87387556</v>
      </c>
      <c r="R16" s="33">
        <v>87387556</v>
      </c>
      <c r="S16" s="33">
        <v>87387556</v>
      </c>
      <c r="T16" s="21">
        <v>87387556</v>
      </c>
      <c r="U16" s="38">
        <v>87387556</v>
      </c>
      <c r="V16" s="217">
        <v>87387556</v>
      </c>
      <c r="W16" s="217">
        <v>87387556</v>
      </c>
      <c r="X16" s="217">
        <v>87387556</v>
      </c>
      <c r="Y16" s="209">
        <v>87387556</v>
      </c>
      <c r="Z16" s="217">
        <v>87387556</v>
      </c>
      <c r="AA16" s="209">
        <v>87387556</v>
      </c>
      <c r="AB16" s="209">
        <v>87387556</v>
      </c>
      <c r="AC16" s="209">
        <v>87387556</v>
      </c>
      <c r="AD16" s="209">
        <v>87387556</v>
      </c>
      <c r="AE16" s="209">
        <v>87387556</v>
      </c>
      <c r="AF16" s="225">
        <v>87387556</v>
      </c>
      <c r="AG16" s="226">
        <f>SUM(U16:AF16)</f>
        <v>1048650672</v>
      </c>
      <c r="AH16" s="123">
        <f t="shared" ref="AH16:AH30" si="0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>
        <f>4110679*12</f>
        <v>49328148</v>
      </c>
      <c r="E17" s="15"/>
      <c r="F17" s="14"/>
      <c r="G17" s="16"/>
      <c r="H17" s="319">
        <f>SUM(I17:T17)</f>
        <v>49328148</v>
      </c>
      <c r="I17" s="154">
        <v>4110679</v>
      </c>
      <c r="J17" s="217">
        <v>4110679</v>
      </c>
      <c r="K17" s="217">
        <v>4110679</v>
      </c>
      <c r="L17" s="217">
        <v>4110679</v>
      </c>
      <c r="M17" s="9">
        <v>4110679</v>
      </c>
      <c r="N17" s="217">
        <v>4110679</v>
      </c>
      <c r="O17" s="9">
        <v>4110679</v>
      </c>
      <c r="P17" s="206">
        <v>4110679</v>
      </c>
      <c r="Q17" s="9">
        <v>4110679</v>
      </c>
      <c r="R17" s="9">
        <v>4110679</v>
      </c>
      <c r="S17" s="9">
        <v>4110679</v>
      </c>
      <c r="T17" s="13">
        <v>4110679</v>
      </c>
      <c r="U17" s="35">
        <v>4110679</v>
      </c>
      <c r="V17" s="217">
        <v>4110679</v>
      </c>
      <c r="W17" s="217">
        <v>4110679</v>
      </c>
      <c r="X17" s="217">
        <v>4110679</v>
      </c>
      <c r="Y17" s="206">
        <v>4110679</v>
      </c>
      <c r="Z17" s="217">
        <v>4110679</v>
      </c>
      <c r="AA17" s="206">
        <v>4110679</v>
      </c>
      <c r="AB17" s="206">
        <v>4110679</v>
      </c>
      <c r="AC17" s="206">
        <v>4110679</v>
      </c>
      <c r="AD17" s="206">
        <v>4110679</v>
      </c>
      <c r="AE17" s="206">
        <v>4110679</v>
      </c>
      <c r="AF17" s="227">
        <v>4110679</v>
      </c>
      <c r="AG17" s="228">
        <f t="shared" ref="AG17:AG28" si="1">SUM(U17:AF17)</f>
        <v>49328148</v>
      </c>
      <c r="AH17" s="124">
        <f t="shared" si="0"/>
        <v>0</v>
      </c>
    </row>
    <row r="18" spans="1:48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217">
        <v>0</v>
      </c>
      <c r="K18" s="206"/>
      <c r="L18" s="217">
        <v>0</v>
      </c>
      <c r="M18" s="9">
        <v>0</v>
      </c>
      <c r="N18" s="217">
        <v>0</v>
      </c>
      <c r="O18" s="9">
        <v>0</v>
      </c>
      <c r="P18" s="206">
        <v>0</v>
      </c>
      <c r="Q18" s="9">
        <v>0</v>
      </c>
      <c r="R18" s="9">
        <v>0</v>
      </c>
      <c r="S18" s="9">
        <v>0</v>
      </c>
      <c r="T18" s="13">
        <v>0</v>
      </c>
      <c r="U18" s="35"/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>
        <v>0</v>
      </c>
      <c r="AG18" s="228">
        <f t="shared" si="1"/>
        <v>0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-112799*12</f>
        <v>-1353588</v>
      </c>
      <c r="E19" s="15"/>
      <c r="F19" s="14"/>
      <c r="G19" s="16"/>
      <c r="H19" s="319">
        <f t="shared" si="2"/>
        <v>-2021574</v>
      </c>
      <c r="I19" s="154">
        <v>-112799</v>
      </c>
      <c r="J19" s="217">
        <v>-112799</v>
      </c>
      <c r="K19" s="217">
        <v>-112799</v>
      </c>
      <c r="L19" s="217">
        <v>-112799</v>
      </c>
      <c r="M19" s="9">
        <v>-112799</v>
      </c>
      <c r="N19" s="217">
        <v>-112799</v>
      </c>
      <c r="O19" s="9">
        <v>-112799</v>
      </c>
      <c r="P19" s="206">
        <v>-112799</v>
      </c>
      <c r="Q19" s="9">
        <v>-112799</v>
      </c>
      <c r="R19" s="9">
        <v>-112799</v>
      </c>
      <c r="S19" s="9">
        <v>-780785</v>
      </c>
      <c r="T19" s="13">
        <v>-112799</v>
      </c>
      <c r="U19" s="35">
        <v>-112799</v>
      </c>
      <c r="V19" s="217">
        <v>-112799</v>
      </c>
      <c r="W19" s="217">
        <v>-112799</v>
      </c>
      <c r="X19" s="217">
        <v>-112799</v>
      </c>
      <c r="Y19" s="206">
        <v>-112799</v>
      </c>
      <c r="Z19" s="217">
        <v>-112799</v>
      </c>
      <c r="AA19" s="206">
        <v>-112799</v>
      </c>
      <c r="AB19" s="206">
        <v>-112799</v>
      </c>
      <c r="AC19" s="206">
        <v>-112799</v>
      </c>
      <c r="AD19" s="206">
        <v>-112799</v>
      </c>
      <c r="AE19" s="206">
        <v>-780785</v>
      </c>
      <c r="AF19" s="227">
        <v>-112799</v>
      </c>
      <c r="AG19" s="228">
        <f t="shared" si="1"/>
        <v>-2021574</v>
      </c>
      <c r="AH19" s="124">
        <f t="shared" si="0"/>
        <v>0</v>
      </c>
    </row>
    <row r="20" spans="1:48" ht="29.25">
      <c r="A20" s="11">
        <v>5</v>
      </c>
      <c r="B20" s="10" t="s">
        <v>31</v>
      </c>
      <c r="C20" s="147" t="s">
        <v>29</v>
      </c>
      <c r="D20" s="13">
        <f>1936444*12</f>
        <v>23237328</v>
      </c>
      <c r="E20" s="15"/>
      <c r="F20" s="14"/>
      <c r="G20" s="16"/>
      <c r="H20" s="319">
        <f t="shared" si="2"/>
        <v>24333418.207999997</v>
      </c>
      <c r="I20" s="154">
        <v>1936444</v>
      </c>
      <c r="J20" s="217">
        <v>1936444</v>
      </c>
      <c r="K20" s="217">
        <v>1936444</v>
      </c>
      <c r="L20" s="217">
        <v>1936444</v>
      </c>
      <c r="M20" s="9">
        <v>1936444</v>
      </c>
      <c r="N20" s="65">
        <v>1936444</v>
      </c>
      <c r="O20" s="9">
        <v>1936444</v>
      </c>
      <c r="P20" s="206">
        <v>1936444</v>
      </c>
      <c r="Q20" s="9">
        <v>1936444</v>
      </c>
      <c r="R20" s="9">
        <v>1936444</v>
      </c>
      <c r="S20" s="9">
        <v>1936444</v>
      </c>
      <c r="T20" s="13">
        <v>3032534.2079999954</v>
      </c>
      <c r="U20" s="35">
        <v>1936444</v>
      </c>
      <c r="V20" s="217">
        <v>1936444</v>
      </c>
      <c r="W20" s="65">
        <v>1936444</v>
      </c>
      <c r="X20" s="65">
        <v>1936444</v>
      </c>
      <c r="Y20" s="206">
        <v>1936444</v>
      </c>
      <c r="Z20" s="65">
        <v>1936444</v>
      </c>
      <c r="AA20" s="206">
        <v>1936444</v>
      </c>
      <c r="AB20" s="206">
        <v>1936444</v>
      </c>
      <c r="AC20" s="206">
        <v>1936444</v>
      </c>
      <c r="AD20" s="206">
        <v>1936444</v>
      </c>
      <c r="AE20" s="206">
        <v>1936444</v>
      </c>
      <c r="AF20" s="227">
        <v>3032534.2079999954</v>
      </c>
      <c r="AG20" s="228">
        <f t="shared" si="1"/>
        <v>24333418.207999997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226045*12</f>
        <v>2712540</v>
      </c>
      <c r="E21" s="15"/>
      <c r="F21" s="14"/>
      <c r="G21" s="16"/>
      <c r="H21" s="319">
        <f t="shared" si="2"/>
        <v>2788510.55</v>
      </c>
      <c r="I21" s="154">
        <v>226045</v>
      </c>
      <c r="J21" s="217">
        <v>238706</v>
      </c>
      <c r="K21" s="217">
        <v>232375.55000000002</v>
      </c>
      <c r="L21" s="217">
        <v>232376</v>
      </c>
      <c r="M21" s="9">
        <v>232376</v>
      </c>
      <c r="N21" s="65">
        <v>232376</v>
      </c>
      <c r="O21" s="9">
        <v>232376</v>
      </c>
      <c r="P21" s="206">
        <v>232376</v>
      </c>
      <c r="Q21" s="9">
        <v>232376</v>
      </c>
      <c r="R21" s="9">
        <v>232376</v>
      </c>
      <c r="S21" s="9">
        <v>232376</v>
      </c>
      <c r="T21" s="13">
        <v>232376</v>
      </c>
      <c r="U21" s="35">
        <v>226045</v>
      </c>
      <c r="V21" s="217">
        <v>238706</v>
      </c>
      <c r="W21" s="65">
        <v>232376</v>
      </c>
      <c r="X21" s="65">
        <v>232376</v>
      </c>
      <c r="Y21" s="206">
        <v>232376</v>
      </c>
      <c r="Z21" s="65">
        <v>232376</v>
      </c>
      <c r="AA21" s="206">
        <v>232376</v>
      </c>
      <c r="AB21" s="206">
        <v>232376</v>
      </c>
      <c r="AC21" s="206">
        <v>232376</v>
      </c>
      <c r="AD21" s="206">
        <v>232376</v>
      </c>
      <c r="AE21" s="206">
        <v>232376</v>
      </c>
      <c r="AF21" s="227">
        <v>232376</v>
      </c>
      <c r="AG21" s="228">
        <f t="shared" si="1"/>
        <v>2788511</v>
      </c>
      <c r="AH21" s="124">
        <f t="shared" si="0"/>
        <v>-0.45000000018626451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70509689</v>
      </c>
      <c r="I22" s="154"/>
      <c r="J22" s="217"/>
      <c r="K22" s="217"/>
      <c r="L22" s="217">
        <v>17862606</v>
      </c>
      <c r="M22" s="9"/>
      <c r="N22" s="65">
        <v>17493305</v>
      </c>
      <c r="O22" s="9"/>
      <c r="P22" s="206"/>
      <c r="Q22" s="9">
        <v>17503714</v>
      </c>
      <c r="R22" s="9"/>
      <c r="S22" s="9"/>
      <c r="T22" s="13">
        <v>17650064</v>
      </c>
      <c r="U22" s="35"/>
      <c r="V22" s="217"/>
      <c r="W22" s="65"/>
      <c r="X22" s="65">
        <v>17862606</v>
      </c>
      <c r="Y22" s="206"/>
      <c r="Z22" s="65">
        <v>17493305</v>
      </c>
      <c r="AA22" s="206"/>
      <c r="AB22" s="206"/>
      <c r="AC22" s="206">
        <v>17503714</v>
      </c>
      <c r="AD22" s="206"/>
      <c r="AE22" s="206"/>
      <c r="AF22" s="227">
        <v>17650064</v>
      </c>
      <c r="AG22" s="228">
        <f>SUM(U22:AF22)</f>
        <v>70509689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81462626</v>
      </c>
      <c r="I23" s="154"/>
      <c r="J23" s="217"/>
      <c r="K23" s="217"/>
      <c r="L23" s="217">
        <v>20637372</v>
      </c>
      <c r="M23" s="9"/>
      <c r="N23" s="65">
        <v>20210706</v>
      </c>
      <c r="O23" s="9"/>
      <c r="P23" s="206"/>
      <c r="Q23" s="9">
        <v>20222732</v>
      </c>
      <c r="R23" s="9"/>
      <c r="S23" s="9"/>
      <c r="T23" s="13">
        <v>20391816</v>
      </c>
      <c r="U23" s="35"/>
      <c r="V23" s="217"/>
      <c r="W23" s="65"/>
      <c r="X23" s="65">
        <v>20637372</v>
      </c>
      <c r="Y23" s="206"/>
      <c r="Z23" s="65">
        <v>20210706</v>
      </c>
      <c r="AA23" s="206"/>
      <c r="AB23" s="206"/>
      <c r="AC23" s="206">
        <v>20222732</v>
      </c>
      <c r="AD23" s="206"/>
      <c r="AE23" s="206"/>
      <c r="AF23" s="227">
        <v>20391816</v>
      </c>
      <c r="AG23" s="228">
        <f>SUM(U23:AF23)</f>
        <v>81462626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203866*12</f>
        <v>2446392</v>
      </c>
      <c r="E24" s="15"/>
      <c r="F24" s="14"/>
      <c r="G24" s="16"/>
      <c r="H24" s="319">
        <f t="shared" si="2"/>
        <v>2446392</v>
      </c>
      <c r="I24" s="154">
        <v>203866</v>
      </c>
      <c r="J24" s="217">
        <v>203866</v>
      </c>
      <c r="K24" s="217">
        <v>203866</v>
      </c>
      <c r="L24" s="217">
        <v>203866</v>
      </c>
      <c r="M24" s="9">
        <v>203866</v>
      </c>
      <c r="N24" s="65">
        <v>203866</v>
      </c>
      <c r="O24" s="9">
        <v>203866</v>
      </c>
      <c r="P24" s="206">
        <v>203866</v>
      </c>
      <c r="Q24" s="9">
        <v>203866</v>
      </c>
      <c r="R24" s="9">
        <v>203866</v>
      </c>
      <c r="S24" s="9">
        <v>203866</v>
      </c>
      <c r="T24" s="13">
        <v>203866</v>
      </c>
      <c r="U24" s="35">
        <v>203866</v>
      </c>
      <c r="V24" s="217">
        <v>203866</v>
      </c>
      <c r="W24" s="65">
        <v>203866</v>
      </c>
      <c r="X24" s="65">
        <v>203866</v>
      </c>
      <c r="Y24" s="206">
        <v>203866</v>
      </c>
      <c r="Z24" s="65">
        <v>203866</v>
      </c>
      <c r="AA24" s="206">
        <v>203866</v>
      </c>
      <c r="AB24" s="206">
        <v>203866</v>
      </c>
      <c r="AC24" s="206">
        <v>203866</v>
      </c>
      <c r="AD24" s="206">
        <v>203866</v>
      </c>
      <c r="AE24" s="206">
        <v>203866</v>
      </c>
      <c r="AF24" s="227">
        <v>203866</v>
      </c>
      <c r="AG24" s="228">
        <f t="shared" si="1"/>
        <v>2446392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>
        <f>69044*12</f>
        <v>828528</v>
      </c>
      <c r="E25" s="15"/>
      <c r="F25" s="14"/>
      <c r="G25" s="16"/>
      <c r="H25" s="319">
        <f t="shared" si="2"/>
        <v>828527.79015999998</v>
      </c>
      <c r="I25" s="154">
        <v>69044</v>
      </c>
      <c r="J25" s="217">
        <v>69044</v>
      </c>
      <c r="K25" s="217">
        <v>69043.790160000004</v>
      </c>
      <c r="L25" s="217">
        <v>69044</v>
      </c>
      <c r="M25" s="9">
        <v>69044</v>
      </c>
      <c r="N25" s="65">
        <v>69044</v>
      </c>
      <c r="O25" s="9">
        <v>69044</v>
      </c>
      <c r="P25" s="206">
        <v>69044</v>
      </c>
      <c r="Q25" s="9">
        <v>69044</v>
      </c>
      <c r="R25" s="9">
        <v>69044</v>
      </c>
      <c r="S25" s="9">
        <v>69044</v>
      </c>
      <c r="T25" s="13">
        <v>69044</v>
      </c>
      <c r="U25" s="35">
        <v>69044</v>
      </c>
      <c r="V25" s="217">
        <v>69044</v>
      </c>
      <c r="W25" s="65">
        <v>69044</v>
      </c>
      <c r="X25" s="65">
        <v>69044</v>
      </c>
      <c r="Y25" s="206">
        <v>69044</v>
      </c>
      <c r="Z25" s="65">
        <v>69044</v>
      </c>
      <c r="AA25" s="206">
        <v>69044</v>
      </c>
      <c r="AB25" s="206">
        <v>69044</v>
      </c>
      <c r="AC25" s="206">
        <v>69044</v>
      </c>
      <c r="AD25" s="206">
        <v>69044</v>
      </c>
      <c r="AE25" s="206">
        <v>69044</v>
      </c>
      <c r="AF25" s="227">
        <v>69044</v>
      </c>
      <c r="AG25" s="228">
        <f t="shared" si="1"/>
        <v>828528</v>
      </c>
      <c r="AH25" s="124">
        <f t="shared" si="0"/>
        <v>-0.2098400000249967</v>
      </c>
    </row>
    <row r="26" spans="1:48" ht="15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9">
        <f t="shared" si="2"/>
        <v>0</v>
      </c>
      <c r="I26" s="154"/>
      <c r="J26" s="217"/>
      <c r="K26" s="217"/>
      <c r="L26" s="217"/>
      <c r="M26" s="9"/>
      <c r="N26" s="65"/>
      <c r="O26" s="9"/>
      <c r="P26" s="206"/>
      <c r="Q26" s="9"/>
      <c r="R26" s="9"/>
      <c r="S26" s="9"/>
      <c r="T26" s="13"/>
      <c r="U26" s="35"/>
      <c r="V26" s="217"/>
      <c r="W26" s="65"/>
      <c r="X26" s="65"/>
      <c r="Y26" s="206"/>
      <c r="Z26" s="65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24047515</v>
      </c>
      <c r="I27" s="154"/>
      <c r="J27" s="217"/>
      <c r="K27" s="217"/>
      <c r="L27" s="217"/>
      <c r="M27" s="9"/>
      <c r="N27" s="65"/>
      <c r="O27" s="9"/>
      <c r="P27" s="206"/>
      <c r="Q27" s="9"/>
      <c r="R27" s="9">
        <v>24047515</v>
      </c>
      <c r="S27" s="9"/>
      <c r="T27" s="13"/>
      <c r="U27" s="35"/>
      <c r="V27" s="217"/>
      <c r="W27" s="65"/>
      <c r="X27" s="65"/>
      <c r="Y27" s="206"/>
      <c r="Z27" s="65"/>
      <c r="AA27" s="206"/>
      <c r="AB27" s="206"/>
      <c r="AC27" s="206"/>
      <c r="AD27" s="206">
        <v>24047515</v>
      </c>
      <c r="AE27" s="206"/>
      <c r="AF27" s="227"/>
      <c r="AG27" s="228">
        <f t="shared" si="1"/>
        <v>24047515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24023675</v>
      </c>
      <c r="I28" s="154"/>
      <c r="J28" s="217"/>
      <c r="K28" s="217"/>
      <c r="L28" s="217"/>
      <c r="M28" s="9"/>
      <c r="N28" s="65"/>
      <c r="O28" s="9"/>
      <c r="P28" s="206"/>
      <c r="Q28" s="9"/>
      <c r="R28" s="9">
        <v>24023675</v>
      </c>
      <c r="S28" s="9"/>
      <c r="T28" s="13"/>
      <c r="U28" s="35"/>
      <c r="V28" s="217"/>
      <c r="W28" s="65"/>
      <c r="X28" s="65"/>
      <c r="Y28" s="206"/>
      <c r="Z28" s="65"/>
      <c r="AA28" s="206"/>
      <c r="AB28" s="206"/>
      <c r="AC28" s="206"/>
      <c r="AD28" s="206">
        <v>24023675</v>
      </c>
      <c r="AE28" s="206"/>
      <c r="AF28" s="227"/>
      <c r="AG28" s="228">
        <f t="shared" si="1"/>
        <v>24023675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19">
        <f t="shared" si="2"/>
        <v>8236630.2650020327</v>
      </c>
      <c r="I29" s="154"/>
      <c r="J29" s="217"/>
      <c r="K29" s="217"/>
      <c r="L29" s="217"/>
      <c r="M29" s="9"/>
      <c r="N29" s="65"/>
      <c r="O29" s="9"/>
      <c r="P29" s="206"/>
      <c r="Q29" s="9"/>
      <c r="R29" s="9"/>
      <c r="S29" s="9">
        <v>8236630.2650020327</v>
      </c>
      <c r="T29" s="13"/>
      <c r="U29" s="35"/>
      <c r="V29" s="217"/>
      <c r="W29" s="65"/>
      <c r="X29" s="65"/>
      <c r="Y29" s="206"/>
      <c r="Z29" s="65"/>
      <c r="AA29" s="206"/>
      <c r="AB29" s="206"/>
      <c r="AC29" s="206"/>
      <c r="AD29" s="206"/>
      <c r="AE29" s="206">
        <v>8236630.2650020327</v>
      </c>
      <c r="AF29" s="227"/>
      <c r="AG29" s="228">
        <f>SUM(U29:AF29)</f>
        <v>8236630.2650020327</v>
      </c>
      <c r="AH29" s="124">
        <f>+H29-AG29</f>
        <v>0</v>
      </c>
    </row>
    <row r="30" spans="1:48" ht="15.75" thickBot="1">
      <c r="A30" s="743" t="s">
        <v>36</v>
      </c>
      <c r="B30" s="744"/>
      <c r="C30" s="89"/>
      <c r="D30" s="90">
        <f>SUM(D16:D26)</f>
        <v>1125850140</v>
      </c>
      <c r="E30" s="91"/>
      <c r="F30" s="92"/>
      <c r="G30" s="93"/>
      <c r="H30" s="320">
        <f>SUM(H16:H28)</f>
        <v>1326397599.5481598</v>
      </c>
      <c r="I30" s="311">
        <f>SUM(I16:I28)</f>
        <v>93820835</v>
      </c>
      <c r="J30" s="311">
        <f t="shared" ref="J30:O30" si="3">SUM(J16:J28)</f>
        <v>93833496</v>
      </c>
      <c r="K30" s="311">
        <f t="shared" si="3"/>
        <v>93827165.340159997</v>
      </c>
      <c r="L30" s="311">
        <f t="shared" si="3"/>
        <v>132327144</v>
      </c>
      <c r="M30" s="311">
        <f t="shared" si="3"/>
        <v>93827166</v>
      </c>
      <c r="N30" s="311">
        <f t="shared" si="3"/>
        <v>131531177</v>
      </c>
      <c r="O30" s="311">
        <f t="shared" si="3"/>
        <v>93827166</v>
      </c>
      <c r="P30" s="363">
        <f t="shared" ref="P30:AF30" si="4">SUM(P16:P28)</f>
        <v>93827166</v>
      </c>
      <c r="Q30" s="311">
        <f t="shared" si="4"/>
        <v>131553612</v>
      </c>
      <c r="R30" s="311">
        <f t="shared" si="4"/>
        <v>141898356</v>
      </c>
      <c r="S30" s="311">
        <f t="shared" si="4"/>
        <v>93159180</v>
      </c>
      <c r="T30" s="311">
        <f t="shared" si="4"/>
        <v>132965136.20799999</v>
      </c>
      <c r="U30" s="111">
        <f t="shared" si="4"/>
        <v>93820835</v>
      </c>
      <c r="V30" s="211">
        <f t="shared" si="4"/>
        <v>93833496</v>
      </c>
      <c r="W30" s="211">
        <f t="shared" si="4"/>
        <v>93827166</v>
      </c>
      <c r="X30" s="211">
        <f t="shared" si="4"/>
        <v>132327144</v>
      </c>
      <c r="Y30" s="211">
        <f t="shared" si="4"/>
        <v>93827166</v>
      </c>
      <c r="Z30" s="211">
        <f t="shared" si="4"/>
        <v>131531177</v>
      </c>
      <c r="AA30" s="211">
        <f t="shared" si="4"/>
        <v>93827166</v>
      </c>
      <c r="AB30" s="211">
        <f t="shared" si="4"/>
        <v>93827166</v>
      </c>
      <c r="AC30" s="211">
        <f t="shared" si="4"/>
        <v>131553612</v>
      </c>
      <c r="AD30" s="211">
        <f t="shared" si="4"/>
        <v>141898356</v>
      </c>
      <c r="AE30" s="211">
        <f t="shared" si="4"/>
        <v>93159180</v>
      </c>
      <c r="AF30" s="211">
        <f t="shared" si="4"/>
        <v>132965136.20799999</v>
      </c>
      <c r="AG30" s="339">
        <f>SUM(U30:AF30)</f>
        <v>1326397600.2079999</v>
      </c>
      <c r="AH30" s="119">
        <f t="shared" si="0"/>
        <v>-0.65984010696411133</v>
      </c>
    </row>
    <row r="31" spans="1:48" ht="15" thickBot="1">
      <c r="D31" s="265">
        <v>7194810</v>
      </c>
      <c r="E31" s="5">
        <v>0.7</v>
      </c>
      <c r="F31" s="5">
        <v>0.3</v>
      </c>
      <c r="G31" s="5">
        <v>8.3333333333333329E-2</v>
      </c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0" t="s">
        <v>38</v>
      </c>
      <c r="I32" s="711"/>
      <c r="J32" s="711"/>
      <c r="K32" s="711"/>
      <c r="L32" s="711"/>
      <c r="M32" s="711"/>
      <c r="N32" s="712"/>
      <c r="O32" s="713"/>
      <c r="P32" s="713"/>
      <c r="Q32" s="713"/>
      <c r="R32" s="713"/>
      <c r="S32" s="713"/>
      <c r="T32" s="714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3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246" t="s">
        <v>13</v>
      </c>
      <c r="K33" s="246" t="s">
        <v>14</v>
      </c>
      <c r="L33" s="246" t="s">
        <v>15</v>
      </c>
      <c r="M33" s="74" t="s">
        <v>16</v>
      </c>
      <c r="N33" s="74" t="s">
        <v>17</v>
      </c>
      <c r="O33" s="74" t="s">
        <v>18</v>
      </c>
      <c r="P33" s="246" t="s">
        <v>19</v>
      </c>
      <c r="Q33" s="74" t="s">
        <v>20</v>
      </c>
      <c r="R33" s="74" t="s">
        <v>21</v>
      </c>
      <c r="S33" s="74" t="s">
        <v>22</v>
      </c>
      <c r="T33" s="75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9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  <c r="AY33" s="1">
        <v>650091</v>
      </c>
    </row>
    <row r="34" spans="1:53" ht="15.75" thickBot="1">
      <c r="A34" s="573">
        <v>1</v>
      </c>
      <c r="B34" s="608" t="s">
        <v>99</v>
      </c>
      <c r="C34" s="615">
        <v>1389</v>
      </c>
      <c r="D34" s="610">
        <v>116874</v>
      </c>
      <c r="E34" s="611">
        <f>+D34*$E$31</f>
        <v>81811.799999999988</v>
      </c>
      <c r="F34" s="612">
        <f>+D34*$F$31</f>
        <v>35062.199999999997</v>
      </c>
      <c r="G34" s="613"/>
      <c r="H34" s="327">
        <f t="shared" ref="H34:H67" si="5">SUM(I34:T34)</f>
        <v>116873.99999999999</v>
      </c>
      <c r="I34" s="268"/>
      <c r="J34" s="249"/>
      <c r="K34" s="250">
        <v>81811.799999999988</v>
      </c>
      <c r="L34" s="212"/>
      <c r="M34" s="33"/>
      <c r="N34" s="33"/>
      <c r="O34" s="33"/>
      <c r="P34" s="212"/>
      <c r="Q34" s="33"/>
      <c r="R34" s="33">
        <v>35062.199999999997</v>
      </c>
      <c r="S34" s="33"/>
      <c r="T34" s="21"/>
      <c r="U34" s="38"/>
      <c r="V34" s="220"/>
      <c r="W34" s="209">
        <v>81811.799999999988</v>
      </c>
      <c r="X34" s="209"/>
      <c r="Y34" s="209"/>
      <c r="Z34" s="209"/>
      <c r="AA34" s="209"/>
      <c r="AB34" s="209"/>
      <c r="AC34" s="209"/>
      <c r="AD34" s="209"/>
      <c r="AE34" s="209">
        <v>35062.199999999997</v>
      </c>
      <c r="AF34" s="209"/>
      <c r="AG34" s="218">
        <f>SUM(U34:AF34)</f>
        <v>116873.99999999999</v>
      </c>
      <c r="AH34" s="123">
        <f t="shared" ref="AH34:AH81" si="6">+H34-AG34</f>
        <v>0</v>
      </c>
      <c r="AK34" s="38"/>
      <c r="AL34" s="220"/>
      <c r="AM34" s="209"/>
      <c r="AN34" s="209"/>
      <c r="AO34" s="209"/>
      <c r="AP34" s="209"/>
      <c r="AQ34" s="209"/>
      <c r="AR34" s="209"/>
      <c r="AS34" s="209"/>
      <c r="AT34" s="209">
        <v>28006.300474233394</v>
      </c>
      <c r="AU34" s="209">
        <v>5538.3870357975475</v>
      </c>
      <c r="AV34" s="225">
        <v>7527.2946280495562</v>
      </c>
      <c r="AW34" s="226">
        <f>SUM(AK34:AV34)</f>
        <v>41071.982138080493</v>
      </c>
      <c r="AX34" s="123">
        <f>+AG34-AW34</f>
        <v>75802.017861919492</v>
      </c>
      <c r="AY34" s="170">
        <f>+AX34+AX35</f>
        <v>6546602.9999999991</v>
      </c>
      <c r="AZ34" s="149">
        <v>1</v>
      </c>
    </row>
    <row r="35" spans="1:53" ht="15">
      <c r="A35" s="573">
        <v>2</v>
      </c>
      <c r="B35" s="608" t="s">
        <v>100</v>
      </c>
      <c r="C35" s="615">
        <v>1389</v>
      </c>
      <c r="D35" s="610">
        <v>9976890</v>
      </c>
      <c r="E35" s="583">
        <f>+D35*$E$31</f>
        <v>6983823</v>
      </c>
      <c r="F35" s="584">
        <f>+D35*$F$31</f>
        <v>2993067</v>
      </c>
      <c r="G35" s="614"/>
      <c r="H35" s="319">
        <f t="shared" si="5"/>
        <v>9976890</v>
      </c>
      <c r="I35" s="153"/>
      <c r="J35" s="251"/>
      <c r="K35" s="250">
        <v>6983823</v>
      </c>
      <c r="L35" s="212"/>
      <c r="M35" s="33"/>
      <c r="N35" s="33"/>
      <c r="O35" s="33"/>
      <c r="P35" s="212"/>
      <c r="Q35" s="33"/>
      <c r="R35" s="33">
        <v>2993067</v>
      </c>
      <c r="S35" s="33"/>
      <c r="T35" s="21"/>
      <c r="U35" s="144"/>
      <c r="V35" s="217"/>
      <c r="W35" s="212">
        <v>6983823</v>
      </c>
      <c r="X35" s="212"/>
      <c r="Y35" s="212"/>
      <c r="Z35" s="212"/>
      <c r="AA35" s="212"/>
      <c r="AB35" s="212"/>
      <c r="AC35" s="212"/>
      <c r="AD35" s="212"/>
      <c r="AE35" s="212">
        <v>2993067</v>
      </c>
      <c r="AF35" s="212"/>
      <c r="AG35" s="218">
        <f>SUM(U35:AF35)</f>
        <v>9976890</v>
      </c>
      <c r="AH35" s="123">
        <f t="shared" si="6"/>
        <v>0</v>
      </c>
      <c r="AI35" s="170">
        <f>+AH34+AH35</f>
        <v>0</v>
      </c>
      <c r="AK35" s="144"/>
      <c r="AL35" s="217"/>
      <c r="AM35" s="212"/>
      <c r="AN35" s="212"/>
      <c r="AO35" s="212"/>
      <c r="AP35" s="212"/>
      <c r="AQ35" s="212"/>
      <c r="AR35" s="212"/>
      <c r="AS35" s="212"/>
      <c r="AT35" s="212">
        <v>2390743.699525767</v>
      </c>
      <c r="AU35" s="212">
        <v>472781.61296420242</v>
      </c>
      <c r="AV35" s="248">
        <v>642563.70537195052</v>
      </c>
      <c r="AW35" s="226">
        <f>SUM(AK35:AV35)</f>
        <v>3506089.0178619204</v>
      </c>
      <c r="AX35" s="431">
        <f t="shared" ref="AX35:AX77" si="7">+AG35-AW35</f>
        <v>6470800.9821380796</v>
      </c>
      <c r="AZ35" s="149">
        <f>+(AX34*AZ34)/AY34</f>
        <v>1.1578832237409157E-2</v>
      </c>
      <c r="BA35" s="207">
        <f>+AY33*AZ35</f>
        <v>7527.2946280495562</v>
      </c>
    </row>
    <row r="36" spans="1:53" ht="15">
      <c r="A36" s="573">
        <v>3</v>
      </c>
      <c r="B36" s="575" t="s">
        <v>74</v>
      </c>
      <c r="C36" s="576">
        <v>1858</v>
      </c>
      <c r="D36" s="577">
        <v>87268116</v>
      </c>
      <c r="E36" s="583">
        <f>+D36*G31</f>
        <v>7272343</v>
      </c>
      <c r="F36" s="584">
        <f>+D36*G31</f>
        <v>7272343</v>
      </c>
      <c r="G36" s="580">
        <f>+D36*G31</f>
        <v>7272343</v>
      </c>
      <c r="H36" s="319">
        <f t="shared" si="5"/>
        <v>87268116</v>
      </c>
      <c r="I36" s="154"/>
      <c r="J36" s="251"/>
      <c r="K36" s="252">
        <v>21817029</v>
      </c>
      <c r="L36" s="206">
        <v>7272343</v>
      </c>
      <c r="M36" s="9">
        <v>7272343</v>
      </c>
      <c r="N36" s="9">
        <v>7272343</v>
      </c>
      <c r="O36" s="33">
        <v>7272343</v>
      </c>
      <c r="P36" s="212">
        <v>7272343</v>
      </c>
      <c r="Q36" s="33">
        <v>7272343</v>
      </c>
      <c r="R36" s="33">
        <v>7272343</v>
      </c>
      <c r="S36" s="33">
        <v>7272343</v>
      </c>
      <c r="T36" s="21">
        <v>7272343</v>
      </c>
      <c r="U36" s="35"/>
      <c r="V36" s="217"/>
      <c r="W36" s="206">
        <v>21817029</v>
      </c>
      <c r="X36" s="206">
        <v>7272343</v>
      </c>
      <c r="Y36" s="206">
        <v>7272343</v>
      </c>
      <c r="Z36" s="206"/>
      <c r="AA36" s="206">
        <v>7272343</v>
      </c>
      <c r="AB36" s="206">
        <v>7272343</v>
      </c>
      <c r="AC36" s="206">
        <f>7272343+7272343</f>
        <v>14544686</v>
      </c>
      <c r="AD36" s="206">
        <v>7272343</v>
      </c>
      <c r="AE36" s="206">
        <v>7272343</v>
      </c>
      <c r="AF36" s="206">
        <v>7272343</v>
      </c>
      <c r="AG36" s="219">
        <f>SUM(U36:AF36)</f>
        <v>87268116</v>
      </c>
      <c r="AH36" s="124">
        <f t="shared" si="6"/>
        <v>0</v>
      </c>
      <c r="AK36" s="35"/>
      <c r="AL36" s="217"/>
      <c r="AM36" s="206"/>
      <c r="AN36" s="206"/>
      <c r="AO36" s="206"/>
      <c r="AP36" s="206"/>
      <c r="AQ36" s="206">
        <v>44227876</v>
      </c>
      <c r="AR36" s="206">
        <v>7411607</v>
      </c>
      <c r="AS36" s="206">
        <v>7411607</v>
      </c>
      <c r="AT36" s="206">
        <v>7411607</v>
      </c>
      <c r="AU36" s="206">
        <v>4699071</v>
      </c>
      <c r="AV36" s="227">
        <v>7266110</v>
      </c>
      <c r="AW36" s="228">
        <f>SUM(AK36:AV36)</f>
        <v>78427878</v>
      </c>
      <c r="AX36" s="431">
        <f t="shared" si="7"/>
        <v>8840238</v>
      </c>
      <c r="AZ36" s="149">
        <f>+(AX35*AZ34)/AY34</f>
        <v>0.98842116776259081</v>
      </c>
      <c r="BA36" s="207">
        <f>+AY33*AZ36</f>
        <v>642563.7053719504</v>
      </c>
    </row>
    <row r="37" spans="1:53" ht="15">
      <c r="A37" s="18">
        <v>4</v>
      </c>
      <c r="B37" s="7" t="s">
        <v>75</v>
      </c>
      <c r="C37" s="147"/>
      <c r="D37" s="13"/>
      <c r="E37" s="140">
        <v>0</v>
      </c>
      <c r="F37" s="141">
        <v>0</v>
      </c>
      <c r="G37" s="160"/>
      <c r="H37" s="319">
        <f t="shared" si="5"/>
        <v>0</v>
      </c>
      <c r="I37" s="154"/>
      <c r="J37" s="251"/>
      <c r="K37" s="252"/>
      <c r="L37" s="206"/>
      <c r="M37" s="9"/>
      <c r="N37" s="9"/>
      <c r="O37" s="33"/>
      <c r="P37" s="212"/>
      <c r="Q37" s="33"/>
      <c r="R37" s="33"/>
      <c r="S37" s="33"/>
      <c r="T37" s="21"/>
      <c r="U37" s="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6"/>
        <v>0</v>
      </c>
      <c r="AK37" s="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1">
        <f t="shared" si="7"/>
        <v>0</v>
      </c>
    </row>
    <row r="38" spans="1:53" ht="15">
      <c r="A38" s="573">
        <v>5</v>
      </c>
      <c r="B38" s="575" t="s">
        <v>101</v>
      </c>
      <c r="C38" s="576">
        <v>1452</v>
      </c>
      <c r="D38" s="577">
        <v>10308589</v>
      </c>
      <c r="E38" s="583">
        <f>+D38*$E$31</f>
        <v>7216012.2999999998</v>
      </c>
      <c r="F38" s="584">
        <f>+D38*$F$31</f>
        <v>3092576.6999999997</v>
      </c>
      <c r="G38" s="580"/>
      <c r="H38" s="319">
        <f t="shared" si="5"/>
        <v>10308589</v>
      </c>
      <c r="I38" s="154"/>
      <c r="J38" s="251"/>
      <c r="K38" s="252">
        <v>7216012.2999999998</v>
      </c>
      <c r="L38" s="206"/>
      <c r="M38" s="9"/>
      <c r="N38" s="9"/>
      <c r="O38" s="33"/>
      <c r="P38" s="212"/>
      <c r="Q38" s="33"/>
      <c r="R38" s="33">
        <v>3092576.6999999997</v>
      </c>
      <c r="S38" s="33"/>
      <c r="T38" s="21"/>
      <c r="U38" s="35"/>
      <c r="V38" s="217"/>
      <c r="W38" s="206">
        <v>7216012.2999999998</v>
      </c>
      <c r="X38" s="206"/>
      <c r="Y38" s="206"/>
      <c r="Z38" s="206"/>
      <c r="AA38" s="206"/>
      <c r="AB38" s="206"/>
      <c r="AC38" s="206"/>
      <c r="AD38" s="206">
        <v>3092576.6999999997</v>
      </c>
      <c r="AE38" s="206"/>
      <c r="AF38" s="206"/>
      <c r="AG38" s="219">
        <f t="shared" ref="AG38:AG67" si="8">SUM(U38:AF38)</f>
        <v>10308589</v>
      </c>
      <c r="AH38" s="124">
        <f t="shared" si="6"/>
        <v>0</v>
      </c>
      <c r="AK38" s="35"/>
      <c r="AL38" s="217"/>
      <c r="AM38" s="206"/>
      <c r="AN38" s="206"/>
      <c r="AO38" s="206"/>
      <c r="AP38" s="206"/>
      <c r="AQ38" s="206">
        <v>132893.71529219975</v>
      </c>
      <c r="AR38" s="206">
        <v>132893.71529219975</v>
      </c>
      <c r="AS38" s="206"/>
      <c r="AT38" s="206"/>
      <c r="AU38" s="206"/>
      <c r="AV38" s="227">
        <v>132893.71529219978</v>
      </c>
      <c r="AW38" s="228">
        <f t="shared" ref="AW38:AW45" si="9">SUM(AK38:AV38)</f>
        <v>398681.14587659924</v>
      </c>
      <c r="AX38" s="431">
        <f t="shared" si="7"/>
        <v>9909907.8541234005</v>
      </c>
      <c r="AY38" s="207">
        <v>159440</v>
      </c>
      <c r="AZ38" s="149">
        <v>1</v>
      </c>
    </row>
    <row r="39" spans="1:53" ht="15">
      <c r="A39" s="573">
        <v>6</v>
      </c>
      <c r="B39" s="575" t="s">
        <v>102</v>
      </c>
      <c r="C39" s="576">
        <v>1452</v>
      </c>
      <c r="D39" s="577">
        <v>2059200</v>
      </c>
      <c r="E39" s="583">
        <f>+D39*$E$31</f>
        <v>1441440</v>
      </c>
      <c r="F39" s="584">
        <f>+D39*$F$31</f>
        <v>617760</v>
      </c>
      <c r="G39" s="580"/>
      <c r="H39" s="319">
        <f t="shared" si="5"/>
        <v>2059200</v>
      </c>
      <c r="I39" s="154"/>
      <c r="J39" s="251"/>
      <c r="K39" s="252">
        <v>1441440</v>
      </c>
      <c r="L39" s="206"/>
      <c r="M39" s="9"/>
      <c r="N39" s="9"/>
      <c r="O39" s="33"/>
      <c r="P39" s="212"/>
      <c r="Q39" s="33"/>
      <c r="R39" s="33">
        <v>617760</v>
      </c>
      <c r="S39" s="33"/>
      <c r="T39" s="21"/>
      <c r="U39" s="35"/>
      <c r="V39" s="217"/>
      <c r="W39" s="206">
        <v>1441440</v>
      </c>
      <c r="X39" s="206"/>
      <c r="Y39" s="206"/>
      <c r="Z39" s="206"/>
      <c r="AA39" s="206"/>
      <c r="AB39" s="206"/>
      <c r="AC39" s="206"/>
      <c r="AD39" s="206">
        <v>617760</v>
      </c>
      <c r="AE39" s="206"/>
      <c r="AF39" s="206"/>
      <c r="AG39" s="219">
        <f t="shared" si="8"/>
        <v>2059200</v>
      </c>
      <c r="AH39" s="124">
        <f t="shared" si="6"/>
        <v>0</v>
      </c>
      <c r="AK39" s="35"/>
      <c r="AL39" s="217"/>
      <c r="AM39" s="206"/>
      <c r="AN39" s="206"/>
      <c r="AO39" s="206"/>
      <c r="AP39" s="206"/>
      <c r="AQ39" s="206">
        <v>26546.284707800238</v>
      </c>
      <c r="AR39" s="206">
        <v>26546.284707800238</v>
      </c>
      <c r="AS39" s="206"/>
      <c r="AT39" s="206"/>
      <c r="AU39" s="206"/>
      <c r="AV39" s="227">
        <v>26546.284707800238</v>
      </c>
      <c r="AW39" s="228">
        <f t="shared" si="9"/>
        <v>79638.854123400713</v>
      </c>
      <c r="AX39" s="431">
        <f t="shared" si="7"/>
        <v>1979561.1458765992</v>
      </c>
      <c r="AY39" s="170">
        <f>+AX38+AX39</f>
        <v>11889469</v>
      </c>
      <c r="AZ39" s="502">
        <f>+(AX38*AZ38)/AY39</f>
        <v>0.83350298100978271</v>
      </c>
      <c r="BA39" s="207">
        <f>+AY38*AZ39</f>
        <v>132893.71529219975</v>
      </c>
    </row>
    <row r="40" spans="1:53" ht="15">
      <c r="A40" s="18">
        <v>7</v>
      </c>
      <c r="B40" s="7" t="s">
        <v>112</v>
      </c>
      <c r="C40" s="147"/>
      <c r="D40" s="13"/>
      <c r="E40" s="140"/>
      <c r="F40" s="141"/>
      <c r="G40" s="160"/>
      <c r="H40" s="319">
        <f t="shared" si="5"/>
        <v>0</v>
      </c>
      <c r="I40" s="154"/>
      <c r="J40" s="251"/>
      <c r="K40" s="252"/>
      <c r="L40" s="206"/>
      <c r="M40" s="9"/>
      <c r="N40" s="9"/>
      <c r="O40" s="33"/>
      <c r="P40" s="212"/>
      <c r="Q40" s="33"/>
      <c r="R40" s="33"/>
      <c r="S40" s="33"/>
      <c r="T40" s="21"/>
      <c r="U40" s="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6"/>
        <v>0</v>
      </c>
      <c r="AK40" s="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1">
        <f t="shared" si="7"/>
        <v>0</v>
      </c>
      <c r="AZ40" s="502">
        <f>+(AX39*AZ38)/AY39</f>
        <v>0.16649701899021724</v>
      </c>
      <c r="BA40" s="207">
        <f>+AY38*AZ40</f>
        <v>26546.284707800238</v>
      </c>
    </row>
    <row r="41" spans="1:53" ht="15">
      <c r="A41" s="573">
        <v>8</v>
      </c>
      <c r="B41" s="575" t="s">
        <v>76</v>
      </c>
      <c r="C41" s="576">
        <v>1619</v>
      </c>
      <c r="D41" s="577">
        <v>30491110</v>
      </c>
      <c r="E41" s="578">
        <f>+D41*E31</f>
        <v>21343777</v>
      </c>
      <c r="F41" s="579">
        <f>+D41*F31</f>
        <v>9147333</v>
      </c>
      <c r="G41" s="580"/>
      <c r="H41" s="319">
        <f t="shared" si="5"/>
        <v>30491110</v>
      </c>
      <c r="I41" s="154"/>
      <c r="J41" s="251"/>
      <c r="K41" s="252">
        <v>21343777</v>
      </c>
      <c r="L41" s="206"/>
      <c r="M41" s="9"/>
      <c r="N41" s="9"/>
      <c r="O41" s="33"/>
      <c r="P41" s="212"/>
      <c r="Q41" s="33"/>
      <c r="R41" s="33">
        <v>9147333</v>
      </c>
      <c r="S41" s="33"/>
      <c r="T41" s="21"/>
      <c r="U41" s="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6"/>
        <v>0</v>
      </c>
      <c r="AK41" s="35"/>
      <c r="AL41" s="217"/>
      <c r="AM41" s="206"/>
      <c r="AN41" s="206">
        <v>6616278</v>
      </c>
      <c r="AO41" s="206"/>
      <c r="AP41" s="206"/>
      <c r="AQ41" s="206">
        <v>7620291</v>
      </c>
      <c r="AR41" s="206">
        <v>2540097</v>
      </c>
      <c r="AS41" s="206">
        <v>2540097</v>
      </c>
      <c r="AT41" s="206">
        <v>2540097</v>
      </c>
      <c r="AU41" s="206"/>
      <c r="AV41" s="227">
        <v>2540097</v>
      </c>
      <c r="AW41" s="228">
        <f t="shared" si="9"/>
        <v>24396957</v>
      </c>
      <c r="AX41" s="431">
        <f t="shared" si="7"/>
        <v>6094153</v>
      </c>
      <c r="AZ41" s="502"/>
    </row>
    <row r="42" spans="1:53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5"/>
        <v>0</v>
      </c>
      <c r="I42" s="154"/>
      <c r="J42" s="251"/>
      <c r="K42" s="252"/>
      <c r="L42" s="206"/>
      <c r="M42" s="9"/>
      <c r="N42" s="9"/>
      <c r="O42" s="33"/>
      <c r="P42" s="212"/>
      <c r="Q42" s="33"/>
      <c r="R42" s="33"/>
      <c r="S42" s="33"/>
      <c r="T42" s="21"/>
      <c r="U42" s="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6"/>
        <v>0</v>
      </c>
      <c r="AK42" s="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7"/>
        <v>0</v>
      </c>
    </row>
    <row r="43" spans="1:53" ht="15">
      <c r="A43" s="573">
        <v>10</v>
      </c>
      <c r="B43" s="575" t="s">
        <v>104</v>
      </c>
      <c r="C43" s="576">
        <v>1579</v>
      </c>
      <c r="D43" s="577">
        <v>31986517</v>
      </c>
      <c r="E43" s="578">
        <f>+D43*E31</f>
        <v>22390561.899999999</v>
      </c>
      <c r="F43" s="579">
        <f>+D43*F31</f>
        <v>9595955.0999999996</v>
      </c>
      <c r="G43" s="580"/>
      <c r="H43" s="319">
        <f t="shared" si="5"/>
        <v>31986517</v>
      </c>
      <c r="I43" s="154"/>
      <c r="J43" s="251"/>
      <c r="K43" s="252">
        <v>22390562</v>
      </c>
      <c r="L43" s="206"/>
      <c r="M43" s="9"/>
      <c r="N43" s="9"/>
      <c r="O43" s="33"/>
      <c r="P43" s="212"/>
      <c r="Q43" s="33"/>
      <c r="R43" s="33">
        <v>9595955</v>
      </c>
      <c r="S43" s="33"/>
      <c r="T43" s="21"/>
      <c r="U43" s="35"/>
      <c r="V43" s="217"/>
      <c r="W43" s="206">
        <v>22390562</v>
      </c>
      <c r="X43" s="206"/>
      <c r="Y43" s="206"/>
      <c r="Z43" s="206"/>
      <c r="AA43" s="206"/>
      <c r="AB43" s="206"/>
      <c r="AC43" s="206"/>
      <c r="AD43" s="206">
        <v>9595955</v>
      </c>
      <c r="AE43" s="206"/>
      <c r="AF43" s="206"/>
      <c r="AG43" s="219">
        <f t="shared" si="8"/>
        <v>31986517</v>
      </c>
      <c r="AH43" s="124">
        <f t="shared" si="6"/>
        <v>0</v>
      </c>
      <c r="AK43" s="35"/>
      <c r="AL43" s="217"/>
      <c r="AM43" s="206"/>
      <c r="AN43" s="206"/>
      <c r="AO43" s="206"/>
      <c r="AP43" s="206"/>
      <c r="AQ43" s="206">
        <v>5287570</v>
      </c>
      <c r="AR43" s="206">
        <v>1062698</v>
      </c>
      <c r="AS43" s="206">
        <v>1062698</v>
      </c>
      <c r="AT43" s="206">
        <v>1062698</v>
      </c>
      <c r="AU43" s="206"/>
      <c r="AV43" s="227">
        <v>1062698</v>
      </c>
      <c r="AW43" s="228">
        <f t="shared" si="9"/>
        <v>9538362</v>
      </c>
      <c r="AX43" s="431">
        <f t="shared" si="7"/>
        <v>22448155</v>
      </c>
    </row>
    <row r="44" spans="1:53" ht="15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5"/>
        <v>0</v>
      </c>
      <c r="I44" s="154"/>
      <c r="J44" s="221"/>
      <c r="K44" s="252"/>
      <c r="L44" s="206"/>
      <c r="M44" s="9"/>
      <c r="N44" s="9"/>
      <c r="O44" s="33"/>
      <c r="P44" s="212"/>
      <c r="Q44" s="33"/>
      <c r="R44" s="33"/>
      <c r="S44" s="33"/>
      <c r="T44" s="21"/>
      <c r="U44" s="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6"/>
        <v>0</v>
      </c>
      <c r="AK44" s="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1">
        <f t="shared" si="7"/>
        <v>0</v>
      </c>
    </row>
    <row r="45" spans="1:53" ht="29.25">
      <c r="A45" s="573">
        <v>12</v>
      </c>
      <c r="B45" s="619" t="s">
        <v>79</v>
      </c>
      <c r="C45" s="576">
        <v>1450</v>
      </c>
      <c r="D45" s="577">
        <v>36546881</v>
      </c>
      <c r="E45" s="578">
        <f>+D45*E31</f>
        <v>25582816.699999999</v>
      </c>
      <c r="F45" s="579">
        <f>+D45*F31</f>
        <v>10964064.299999999</v>
      </c>
      <c r="G45" s="580"/>
      <c r="H45" s="319">
        <f t="shared" si="5"/>
        <v>36546880.700000003</v>
      </c>
      <c r="I45" s="154"/>
      <c r="J45" s="221"/>
      <c r="K45" s="252">
        <v>25582816.699999999</v>
      </c>
      <c r="L45" s="206"/>
      <c r="M45" s="9"/>
      <c r="N45" s="9"/>
      <c r="O45" s="33"/>
      <c r="P45" s="212"/>
      <c r="Q45" s="33"/>
      <c r="R45" s="33">
        <v>10964064</v>
      </c>
      <c r="S45" s="33"/>
      <c r="T45" s="21"/>
      <c r="U45" s="35"/>
      <c r="V45" s="217"/>
      <c r="W45" s="206">
        <v>25582817</v>
      </c>
      <c r="X45" s="206"/>
      <c r="Y45" s="206"/>
      <c r="Z45" s="206"/>
      <c r="AA45" s="206"/>
      <c r="AB45" s="206"/>
      <c r="AC45" s="206"/>
      <c r="AD45" s="206"/>
      <c r="AE45" s="206">
        <v>10964064</v>
      </c>
      <c r="AF45" s="206"/>
      <c r="AG45" s="219">
        <f t="shared" si="8"/>
        <v>36546881</v>
      </c>
      <c r="AH45" s="124">
        <f t="shared" si="6"/>
        <v>-0.29999999701976776</v>
      </c>
      <c r="AK45" s="35"/>
      <c r="AL45" s="217"/>
      <c r="AM45" s="206"/>
      <c r="AN45" s="206"/>
      <c r="AO45" s="206"/>
      <c r="AP45" s="206"/>
      <c r="AQ45" s="206"/>
      <c r="AR45" s="206"/>
      <c r="AS45" s="206"/>
      <c r="AT45" s="206">
        <v>15795953</v>
      </c>
      <c r="AU45" s="206"/>
      <c r="AV45" s="227">
        <v>3259906</v>
      </c>
      <c r="AW45" s="228">
        <f t="shared" si="9"/>
        <v>19055859</v>
      </c>
      <c r="AX45" s="431">
        <f t="shared" si="7"/>
        <v>17491022</v>
      </c>
    </row>
    <row r="46" spans="1:53" ht="15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5"/>
        <v>0</v>
      </c>
      <c r="I46" s="154"/>
      <c r="J46" s="221"/>
      <c r="K46" s="252"/>
      <c r="L46" s="206"/>
      <c r="M46" s="9"/>
      <c r="N46" s="9"/>
      <c r="O46" s="33"/>
      <c r="P46" s="212"/>
      <c r="Q46" s="33"/>
      <c r="R46" s="33"/>
      <c r="S46" s="33"/>
      <c r="T46" s="21"/>
      <c r="U46" s="42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6"/>
        <v>0</v>
      </c>
      <c r="AK46" s="42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7"/>
        <v>0</v>
      </c>
    </row>
    <row r="47" spans="1:53" ht="15">
      <c r="A47" s="573">
        <v>14</v>
      </c>
      <c r="B47" s="575" t="s">
        <v>81</v>
      </c>
      <c r="C47" s="576">
        <v>1968</v>
      </c>
      <c r="D47" s="577">
        <v>15219165</v>
      </c>
      <c r="E47" s="578">
        <f>+D47*E31</f>
        <v>10653415.5</v>
      </c>
      <c r="F47" s="579">
        <f>+D47*F31</f>
        <v>4565749.5</v>
      </c>
      <c r="G47" s="580"/>
      <c r="H47" s="319">
        <f t="shared" si="5"/>
        <v>15219165</v>
      </c>
      <c r="I47" s="154"/>
      <c r="J47" s="221"/>
      <c r="K47" s="252">
        <v>10653415</v>
      </c>
      <c r="L47" s="206"/>
      <c r="N47" s="9"/>
      <c r="O47" s="33"/>
      <c r="P47" s="212"/>
      <c r="Q47" s="33"/>
      <c r="R47" s="33">
        <v>4565750</v>
      </c>
      <c r="S47" s="33"/>
      <c r="T47" s="21"/>
      <c r="U47" s="68"/>
      <c r="V47" s="206"/>
      <c r="W47" s="206">
        <v>10653415</v>
      </c>
      <c r="X47" s="206"/>
      <c r="Y47" s="206"/>
      <c r="Z47" s="206"/>
      <c r="AA47" s="206"/>
      <c r="AB47" s="206"/>
      <c r="AC47" s="206"/>
      <c r="AD47" s="206">
        <v>4565750</v>
      </c>
      <c r="AE47" s="206"/>
      <c r="AF47" s="206"/>
      <c r="AG47" s="219">
        <f t="shared" si="8"/>
        <v>15219165</v>
      </c>
      <c r="AH47" s="124">
        <f t="shared" si="6"/>
        <v>0</v>
      </c>
      <c r="AK47" s="68"/>
      <c r="AL47" s="206"/>
      <c r="AM47" s="206"/>
      <c r="AN47" s="206"/>
      <c r="AO47" s="206"/>
      <c r="AP47" s="206"/>
      <c r="AQ47" s="206"/>
      <c r="AR47" s="206"/>
      <c r="AS47" s="206">
        <v>2600000</v>
      </c>
      <c r="AT47" s="206"/>
      <c r="AU47" s="206"/>
      <c r="AV47" s="227">
        <v>1300000</v>
      </c>
      <c r="AW47" s="228">
        <f t="shared" ref="AW47:AW67" si="10">SUM(AK47:AV47)</f>
        <v>3900000</v>
      </c>
      <c r="AX47" s="431">
        <f t="shared" si="7"/>
        <v>11319165</v>
      </c>
    </row>
    <row r="48" spans="1:53" ht="15">
      <c r="A48" s="18">
        <v>15</v>
      </c>
      <c r="B48" s="7" t="s">
        <v>82</v>
      </c>
      <c r="C48" s="147"/>
      <c r="D48" s="13"/>
      <c r="E48" s="142"/>
      <c r="F48" s="143"/>
      <c r="G48" s="160"/>
      <c r="H48" s="319">
        <f t="shared" si="5"/>
        <v>0</v>
      </c>
      <c r="I48" s="154"/>
      <c r="J48" s="221"/>
      <c r="K48" s="252"/>
      <c r="L48" s="206"/>
      <c r="M48" s="9"/>
      <c r="N48" s="9"/>
      <c r="O48" s="33"/>
      <c r="P48" s="212"/>
      <c r="Q48" s="33"/>
      <c r="R48" s="33"/>
      <c r="S48" s="33"/>
      <c r="T48" s="21"/>
      <c r="U48" s="68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8"/>
        <v>0</v>
      </c>
      <c r="AH48" s="124">
        <f t="shared" si="6"/>
        <v>0</v>
      </c>
      <c r="AK48" s="68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1">
        <f t="shared" si="7"/>
        <v>0</v>
      </c>
    </row>
    <row r="49" spans="1:53" ht="15">
      <c r="A49" s="573">
        <v>16</v>
      </c>
      <c r="B49" s="575" t="s">
        <v>83</v>
      </c>
      <c r="C49" s="576">
        <v>1490</v>
      </c>
      <c r="D49" s="577">
        <v>21530304</v>
      </c>
      <c r="E49" s="578">
        <f>+D49*E31</f>
        <v>15071212.799999999</v>
      </c>
      <c r="F49" s="579">
        <f>+D49*F31</f>
        <v>6459091.2000000002</v>
      </c>
      <c r="G49" s="580"/>
      <c r="H49" s="319">
        <f t="shared" si="5"/>
        <v>21530304</v>
      </c>
      <c r="I49" s="154"/>
      <c r="J49" s="221"/>
      <c r="K49" s="252">
        <v>15071213</v>
      </c>
      <c r="L49" s="206"/>
      <c r="M49" s="9"/>
      <c r="N49" s="9"/>
      <c r="O49" s="33"/>
      <c r="P49" s="212"/>
      <c r="Q49" s="33"/>
      <c r="R49" s="33">
        <v>6459091</v>
      </c>
      <c r="S49" s="33"/>
      <c r="T49" s="21"/>
      <c r="U49" s="68"/>
      <c r="V49" s="206"/>
      <c r="W49" s="206">
        <v>15071213</v>
      </c>
      <c r="X49" s="206"/>
      <c r="Y49" s="206"/>
      <c r="Z49" s="206"/>
      <c r="AA49" s="206"/>
      <c r="AB49" s="206"/>
      <c r="AC49" s="206"/>
      <c r="AD49" s="206"/>
      <c r="AE49" s="206">
        <v>6459091</v>
      </c>
      <c r="AF49" s="206"/>
      <c r="AG49" s="219">
        <f t="shared" si="8"/>
        <v>21530304</v>
      </c>
      <c r="AH49" s="124">
        <f t="shared" si="6"/>
        <v>0</v>
      </c>
      <c r="AK49" s="68">
        <v>0</v>
      </c>
      <c r="AL49" s="206">
        <v>0</v>
      </c>
      <c r="AM49" s="206"/>
      <c r="AN49" s="206"/>
      <c r="AO49" s="206"/>
      <c r="AP49" s="206"/>
      <c r="AQ49" s="206">
        <v>7412853</v>
      </c>
      <c r="AR49" s="206">
        <v>1849090</v>
      </c>
      <c r="AS49" s="206"/>
      <c r="AT49" s="206">
        <v>3698180</v>
      </c>
      <c r="AU49" s="206">
        <v>1849090</v>
      </c>
      <c r="AV49" s="227">
        <v>1849090</v>
      </c>
      <c r="AW49" s="228">
        <f t="shared" si="10"/>
        <v>16658303</v>
      </c>
      <c r="AX49" s="431">
        <f t="shared" si="7"/>
        <v>4872001</v>
      </c>
    </row>
    <row r="50" spans="1:53" ht="15">
      <c r="A50" s="573">
        <v>17</v>
      </c>
      <c r="B50" s="575" t="s">
        <v>95</v>
      </c>
      <c r="C50" s="576">
        <v>1237</v>
      </c>
      <c r="D50" s="577">
        <v>2565654</v>
      </c>
      <c r="E50" s="578">
        <f t="shared" ref="E50:E55" si="11">+D50*$E$31</f>
        <v>1795957.7999999998</v>
      </c>
      <c r="F50" s="579">
        <f t="shared" ref="F50:F55" si="12">+D50*$F$31</f>
        <v>769696.2</v>
      </c>
      <c r="G50" s="620"/>
      <c r="H50" s="319">
        <f t="shared" si="5"/>
        <v>2565654</v>
      </c>
      <c r="I50" s="154"/>
      <c r="J50" s="221"/>
      <c r="K50" s="252">
        <v>1795957.7999999998</v>
      </c>
      <c r="L50" s="206"/>
      <c r="M50" s="9"/>
      <c r="N50" s="9"/>
      <c r="O50" s="33"/>
      <c r="P50" s="212"/>
      <c r="Q50" s="33"/>
      <c r="R50" s="33">
        <v>769696.2</v>
      </c>
      <c r="S50" s="33"/>
      <c r="T50" s="21"/>
      <c r="U50" s="68"/>
      <c r="V50" s="206"/>
      <c r="W50" s="206">
        <v>1795957.7999999998</v>
      </c>
      <c r="X50" s="206"/>
      <c r="Y50" s="206"/>
      <c r="Z50" s="206"/>
      <c r="AA50" s="206"/>
      <c r="AB50" s="206"/>
      <c r="AC50" s="206"/>
      <c r="AD50" s="206"/>
      <c r="AE50" s="206">
        <v>769696.2</v>
      </c>
      <c r="AF50" s="206"/>
      <c r="AG50" s="219">
        <f t="shared" si="8"/>
        <v>2565654</v>
      </c>
      <c r="AH50" s="124">
        <f t="shared" si="6"/>
        <v>0</v>
      </c>
      <c r="AI50" s="6"/>
      <c r="AK50" s="68"/>
      <c r="AL50" s="206"/>
      <c r="AM50" s="206"/>
      <c r="AN50" s="206"/>
      <c r="AO50" s="206"/>
      <c r="AP50" s="206"/>
      <c r="AQ50" s="206"/>
      <c r="AR50" s="206"/>
      <c r="AS50" s="206"/>
      <c r="AT50" s="206">
        <v>1760763.6452111797</v>
      </c>
      <c r="AU50" s="206"/>
      <c r="AV50" s="227">
        <v>392664.22890741081</v>
      </c>
      <c r="AW50" s="228">
        <f t="shared" si="10"/>
        <v>2153427.8741185907</v>
      </c>
      <c r="AX50" s="431">
        <f t="shared" si="7"/>
        <v>412226.12588140927</v>
      </c>
      <c r="AY50" s="1">
        <v>6539038</v>
      </c>
      <c r="AZ50" s="149">
        <v>1</v>
      </c>
    </row>
    <row r="51" spans="1:53" ht="15">
      <c r="A51" s="573">
        <v>18</v>
      </c>
      <c r="B51" s="575" t="s">
        <v>96</v>
      </c>
      <c r="C51" s="576">
        <v>1237</v>
      </c>
      <c r="D51" s="577">
        <v>36652200</v>
      </c>
      <c r="E51" s="578">
        <f t="shared" si="11"/>
        <v>25656540</v>
      </c>
      <c r="F51" s="579">
        <f t="shared" si="12"/>
        <v>10995660</v>
      </c>
      <c r="G51" s="669"/>
      <c r="H51" s="319">
        <f t="shared" si="5"/>
        <v>36652200</v>
      </c>
      <c r="I51" s="154"/>
      <c r="J51" s="221"/>
      <c r="K51" s="252">
        <v>25656540</v>
      </c>
      <c r="L51" s="206"/>
      <c r="M51" s="9"/>
      <c r="N51" s="9"/>
      <c r="O51" s="33"/>
      <c r="P51" s="212"/>
      <c r="Q51" s="33"/>
      <c r="R51" s="33">
        <v>3800850.3</v>
      </c>
      <c r="S51" s="33">
        <v>7194809.6999999993</v>
      </c>
      <c r="T51" s="21"/>
      <c r="U51" s="68"/>
      <c r="V51" s="206"/>
      <c r="W51" s="206">
        <v>25656540</v>
      </c>
      <c r="X51" s="206"/>
      <c r="Y51" s="206"/>
      <c r="Z51" s="206"/>
      <c r="AA51" s="206"/>
      <c r="AB51" s="206"/>
      <c r="AC51" s="206"/>
      <c r="AD51" s="206"/>
      <c r="AE51" s="206">
        <f>7194810+3800850.3</f>
        <v>10995660.300000001</v>
      </c>
      <c r="AF51" s="206"/>
      <c r="AG51" s="219">
        <f t="shared" si="8"/>
        <v>36652200.299999997</v>
      </c>
      <c r="AH51" s="124">
        <f t="shared" si="6"/>
        <v>-0.29999999701976776</v>
      </c>
      <c r="AI51" s="6"/>
      <c r="AK51" s="68"/>
      <c r="AL51" s="206"/>
      <c r="AM51" s="206"/>
      <c r="AN51" s="206"/>
      <c r="AO51" s="206"/>
      <c r="AP51" s="206"/>
      <c r="AQ51" s="206"/>
      <c r="AR51" s="206"/>
      <c r="AS51" s="206"/>
      <c r="AT51" s="206">
        <v>25153766.360159714</v>
      </c>
      <c r="AU51" s="206"/>
      <c r="AV51" s="227">
        <v>5609489.1307460098</v>
      </c>
      <c r="AW51" s="228">
        <f t="shared" si="10"/>
        <v>30763255.490905724</v>
      </c>
      <c r="AX51" s="431">
        <f t="shared" si="7"/>
        <v>5888944.8090942726</v>
      </c>
      <c r="AY51" s="170">
        <f>+AX50+AX51+AX52+AX53</f>
        <v>6864802.299999997</v>
      </c>
      <c r="AZ51" s="149">
        <f>+(AX50*$AZ$50)/$AY$51</f>
        <v>6.0049234903882004E-2</v>
      </c>
      <c r="BA51" s="207">
        <f>+$AY$50*AZ51</f>
        <v>392664.22890741075</v>
      </c>
    </row>
    <row r="52" spans="1:53" ht="15">
      <c r="A52" s="573">
        <v>19</v>
      </c>
      <c r="B52" s="575" t="s">
        <v>97</v>
      </c>
      <c r="C52" s="576">
        <v>1237</v>
      </c>
      <c r="D52" s="577">
        <v>969306</v>
      </c>
      <c r="E52" s="578">
        <f t="shared" si="11"/>
        <v>678514.2</v>
      </c>
      <c r="F52" s="579">
        <f t="shared" si="12"/>
        <v>290791.8</v>
      </c>
      <c r="G52" s="620"/>
      <c r="H52" s="319">
        <f t="shared" si="5"/>
        <v>969306</v>
      </c>
      <c r="I52" s="154"/>
      <c r="J52" s="221"/>
      <c r="K52" s="252">
        <v>678514.2</v>
      </c>
      <c r="L52" s="206"/>
      <c r="M52" s="9"/>
      <c r="N52" s="9"/>
      <c r="O52" s="33"/>
      <c r="P52" s="212"/>
      <c r="Q52" s="33"/>
      <c r="R52" s="33">
        <v>290791.8</v>
      </c>
      <c r="S52" s="33"/>
      <c r="T52" s="21"/>
      <c r="U52" s="68"/>
      <c r="V52" s="206"/>
      <c r="W52" s="206">
        <v>678514.2</v>
      </c>
      <c r="X52" s="206"/>
      <c r="Y52" s="206"/>
      <c r="Z52" s="206"/>
      <c r="AA52" s="206"/>
      <c r="AB52" s="206"/>
      <c r="AC52" s="206"/>
      <c r="AD52" s="206"/>
      <c r="AE52" s="206">
        <v>290791.8</v>
      </c>
      <c r="AF52" s="206"/>
      <c r="AG52" s="219">
        <f t="shared" si="8"/>
        <v>969306</v>
      </c>
      <c r="AH52" s="124">
        <f t="shared" si="6"/>
        <v>0</v>
      </c>
      <c r="AI52" s="6"/>
      <c r="AK52" s="68"/>
      <c r="AL52" s="206"/>
      <c r="AM52" s="206"/>
      <c r="AN52" s="206"/>
      <c r="AO52" s="206"/>
      <c r="AP52" s="206"/>
      <c r="AQ52" s="206"/>
      <c r="AR52" s="206"/>
      <c r="AS52" s="206"/>
      <c r="AT52" s="206">
        <v>665217.82199979736</v>
      </c>
      <c r="AU52" s="206"/>
      <c r="AV52" s="227">
        <v>148348.83934674223</v>
      </c>
      <c r="AW52" s="228">
        <f t="shared" si="10"/>
        <v>813566.66134653962</v>
      </c>
      <c r="AX52" s="431">
        <f t="shared" si="7"/>
        <v>155739.33865346038</v>
      </c>
      <c r="AZ52" s="149">
        <f>+(AX51*$AZ$50)/$AY$51</f>
        <v>0.85784623529424509</v>
      </c>
      <c r="BA52" s="207">
        <f>+$AY$50*AZ52</f>
        <v>5609489.1307460098</v>
      </c>
    </row>
    <row r="53" spans="1:53" ht="15">
      <c r="A53" s="573">
        <v>20</v>
      </c>
      <c r="B53" s="575" t="s">
        <v>98</v>
      </c>
      <c r="C53" s="576">
        <v>1237</v>
      </c>
      <c r="D53" s="577">
        <v>2538679</v>
      </c>
      <c r="E53" s="578">
        <f t="shared" si="11"/>
        <v>1777075.2999999998</v>
      </c>
      <c r="F53" s="579">
        <f t="shared" si="12"/>
        <v>761603.7</v>
      </c>
      <c r="G53" s="620"/>
      <c r="H53" s="319">
        <f t="shared" si="5"/>
        <v>2538679</v>
      </c>
      <c r="I53" s="154"/>
      <c r="J53" s="221"/>
      <c r="K53" s="252">
        <v>1777075.2999999998</v>
      </c>
      <c r="L53" s="206"/>
      <c r="M53" s="9"/>
      <c r="N53" s="9"/>
      <c r="O53" s="33"/>
      <c r="P53" s="212"/>
      <c r="Q53" s="33"/>
      <c r="R53" s="33">
        <v>761603.7</v>
      </c>
      <c r="S53" s="33"/>
      <c r="T53" s="21"/>
      <c r="U53" s="68"/>
      <c r="V53" s="206"/>
      <c r="W53" s="206">
        <v>1777075.2999999998</v>
      </c>
      <c r="X53" s="206"/>
      <c r="Y53" s="206"/>
      <c r="Z53" s="206"/>
      <c r="AA53" s="206"/>
      <c r="AB53" s="206"/>
      <c r="AC53" s="206"/>
      <c r="AD53" s="206"/>
      <c r="AE53" s="206">
        <v>761603.7</v>
      </c>
      <c r="AF53" s="206"/>
      <c r="AG53" s="219">
        <f t="shared" si="8"/>
        <v>2538679</v>
      </c>
      <c r="AH53" s="124">
        <f t="shared" si="6"/>
        <v>0</v>
      </c>
      <c r="AI53" s="6"/>
      <c r="AK53" s="68"/>
      <c r="AL53" s="206"/>
      <c r="AM53" s="206"/>
      <c r="AN53" s="206"/>
      <c r="AO53" s="206"/>
      <c r="AP53" s="206"/>
      <c r="AQ53" s="206"/>
      <c r="AR53" s="206"/>
      <c r="AS53" s="206"/>
      <c r="AT53" s="206">
        <v>1742251.1726293073</v>
      </c>
      <c r="AU53" s="206"/>
      <c r="AV53" s="227">
        <v>388535.8009998374</v>
      </c>
      <c r="AW53" s="228">
        <f t="shared" si="10"/>
        <v>2130786.9736291445</v>
      </c>
      <c r="AX53" s="431">
        <f t="shared" si="7"/>
        <v>407892.02637085551</v>
      </c>
      <c r="AZ53" s="149">
        <f>+(AX52*$AZ$50)/$AY$51</f>
        <v>2.2686645856277676E-2</v>
      </c>
      <c r="BA53" s="207">
        <f>+$AY$50*AZ53</f>
        <v>148348.83934674226</v>
      </c>
    </row>
    <row r="54" spans="1:53" ht="15">
      <c r="A54" s="573">
        <v>21</v>
      </c>
      <c r="B54" s="575" t="s">
        <v>84</v>
      </c>
      <c r="C54" s="576">
        <v>1857</v>
      </c>
      <c r="D54" s="577">
        <v>8917992</v>
      </c>
      <c r="E54" s="578">
        <f t="shared" si="11"/>
        <v>6242594.3999999994</v>
      </c>
      <c r="F54" s="579">
        <f t="shared" si="12"/>
        <v>2675397.6</v>
      </c>
      <c r="G54" s="580"/>
      <c r="H54" s="319">
        <f t="shared" si="5"/>
        <v>8917992</v>
      </c>
      <c r="I54" s="154"/>
      <c r="J54" s="221"/>
      <c r="K54" s="252"/>
      <c r="L54" s="206">
        <v>6242594</v>
      </c>
      <c r="M54" s="9"/>
      <c r="N54" s="9"/>
      <c r="O54" s="33"/>
      <c r="P54" s="212"/>
      <c r="Q54" s="33"/>
      <c r="R54" s="33">
        <v>2675398</v>
      </c>
      <c r="S54" s="33"/>
      <c r="T54" s="21"/>
      <c r="U54" s="68"/>
      <c r="V54" s="206"/>
      <c r="W54" s="206"/>
      <c r="X54" s="206">
        <v>6242594</v>
      </c>
      <c r="Y54" s="206"/>
      <c r="Z54" s="206"/>
      <c r="AA54" s="206"/>
      <c r="AB54" s="206"/>
      <c r="AC54" s="206"/>
      <c r="AD54" s="206">
        <v>2675398</v>
      </c>
      <c r="AE54" s="206"/>
      <c r="AF54" s="206"/>
      <c r="AG54" s="219">
        <f t="shared" si="8"/>
        <v>8917992</v>
      </c>
      <c r="AH54" s="124">
        <f t="shared" si="6"/>
        <v>0</v>
      </c>
      <c r="AI54" s="170"/>
      <c r="AJ54" s="170"/>
      <c r="AK54" s="68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>
        <v>8916024</v>
      </c>
      <c r="AV54" s="227">
        <v>1114503</v>
      </c>
      <c r="AW54" s="228">
        <f t="shared" si="10"/>
        <v>10030527</v>
      </c>
      <c r="AX54" s="431">
        <f t="shared" si="7"/>
        <v>-1112535</v>
      </c>
      <c r="AZ54" s="149">
        <f>+(AX53*$AZ$50)/$AY$51</f>
        <v>5.9417883945595301E-2</v>
      </c>
      <c r="BA54" s="207">
        <f>+$AY$50*AZ54</f>
        <v>388535.80099983758</v>
      </c>
    </row>
    <row r="55" spans="1:53" ht="15">
      <c r="A55" s="573">
        <v>22</v>
      </c>
      <c r="B55" s="575" t="s">
        <v>85</v>
      </c>
      <c r="C55" s="576">
        <v>2614</v>
      </c>
      <c r="D55" s="577">
        <v>49020241</v>
      </c>
      <c r="E55" s="578">
        <f t="shared" si="11"/>
        <v>34314168.699999996</v>
      </c>
      <c r="F55" s="579">
        <f t="shared" si="12"/>
        <v>14706072.299999999</v>
      </c>
      <c r="G55" s="580"/>
      <c r="H55" s="319">
        <f t="shared" si="5"/>
        <v>49020241</v>
      </c>
      <c r="I55" s="154"/>
      <c r="J55" s="221"/>
      <c r="K55" s="252"/>
      <c r="L55" s="206"/>
      <c r="M55" s="9">
        <v>34314168</v>
      </c>
      <c r="N55" s="9"/>
      <c r="O55" s="33"/>
      <c r="P55" s="212"/>
      <c r="Q55" s="33"/>
      <c r="R55" s="33">
        <v>14706073</v>
      </c>
      <c r="S55" s="33"/>
      <c r="T55" s="21"/>
      <c r="U55" s="68"/>
      <c r="V55" s="206"/>
      <c r="W55" s="206"/>
      <c r="X55" s="206"/>
      <c r="Y55" s="206">
        <v>34314168</v>
      </c>
      <c r="Z55" s="206"/>
      <c r="AA55" s="206"/>
      <c r="AB55" s="206"/>
      <c r="AC55" s="206"/>
      <c r="AD55" s="206">
        <v>14706073</v>
      </c>
      <c r="AE55" s="206"/>
      <c r="AF55" s="206"/>
      <c r="AG55" s="219">
        <f t="shared" si="8"/>
        <v>49020241</v>
      </c>
      <c r="AH55" s="124">
        <f t="shared" si="6"/>
        <v>0</v>
      </c>
      <c r="AJ55" s="170"/>
      <c r="AK55" s="68"/>
      <c r="AL55" s="206"/>
      <c r="AM55" s="206"/>
      <c r="AN55" s="206"/>
      <c r="AO55" s="206"/>
      <c r="AP55" s="206">
        <v>0</v>
      </c>
      <c r="AQ55" s="206">
        <v>28905684</v>
      </c>
      <c r="AR55" s="206">
        <v>4926940</v>
      </c>
      <c r="AS55" s="206">
        <v>4926940</v>
      </c>
      <c r="AT55" s="206">
        <v>4926940</v>
      </c>
      <c r="AU55" s="206">
        <v>4926940</v>
      </c>
      <c r="AV55" s="227">
        <v>4929940</v>
      </c>
      <c r="AW55" s="228">
        <f t="shared" si="10"/>
        <v>53543384</v>
      </c>
      <c r="AX55" s="431">
        <f t="shared" si="7"/>
        <v>-4523143</v>
      </c>
    </row>
    <row r="56" spans="1:53" ht="15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5"/>
        <v>0</v>
      </c>
      <c r="I56" s="154"/>
      <c r="J56" s="221"/>
      <c r="K56" s="252"/>
      <c r="L56" s="206"/>
      <c r="M56" s="9"/>
      <c r="N56" s="9"/>
      <c r="O56" s="33"/>
      <c r="P56" s="212"/>
      <c r="Q56" s="33"/>
      <c r="R56" s="33"/>
      <c r="S56" s="33"/>
      <c r="T56" s="21"/>
      <c r="U56" s="68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6"/>
        <v>0</v>
      </c>
      <c r="AK56" s="68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1">
        <f t="shared" si="7"/>
        <v>0</v>
      </c>
    </row>
    <row r="57" spans="1:53" ht="15">
      <c r="A57" s="18">
        <v>24</v>
      </c>
      <c r="B57" s="7" t="s">
        <v>87</v>
      </c>
      <c r="C57" s="147"/>
      <c r="D57" s="13"/>
      <c r="E57" s="142"/>
      <c r="F57" s="143"/>
      <c r="G57" s="160"/>
      <c r="H57" s="319">
        <f t="shared" si="5"/>
        <v>0</v>
      </c>
      <c r="I57" s="154"/>
      <c r="J57" s="221"/>
      <c r="K57" s="252"/>
      <c r="L57" s="206"/>
      <c r="M57" s="9"/>
      <c r="N57" s="9"/>
      <c r="O57" s="33"/>
      <c r="P57" s="212"/>
      <c r="Q57" s="33"/>
      <c r="R57" s="33"/>
      <c r="S57" s="33"/>
      <c r="T57" s="21"/>
      <c r="U57" s="68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8"/>
        <v>0</v>
      </c>
      <c r="AH57" s="124">
        <f t="shared" si="6"/>
        <v>0</v>
      </c>
      <c r="AK57" s="68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0"/>
        <v>0</v>
      </c>
      <c r="AX57" s="431">
        <f t="shared" si="7"/>
        <v>0</v>
      </c>
    </row>
    <row r="58" spans="1:53" s="190" customFormat="1" ht="28.5">
      <c r="A58" s="18">
        <v>25</v>
      </c>
      <c r="B58" s="182" t="s">
        <v>109</v>
      </c>
      <c r="C58" s="181">
        <v>1966</v>
      </c>
      <c r="D58" s="183">
        <v>6069505</v>
      </c>
      <c r="E58" s="184">
        <f>+D58*E31</f>
        <v>4248653.5</v>
      </c>
      <c r="F58" s="185">
        <f>+D58*F31</f>
        <v>1820851.5</v>
      </c>
      <c r="G58" s="341"/>
      <c r="H58" s="319">
        <f t="shared" si="5"/>
        <v>3714325</v>
      </c>
      <c r="I58" s="188"/>
      <c r="J58" s="232"/>
      <c r="K58" s="253">
        <v>2600027</v>
      </c>
      <c r="L58" s="231"/>
      <c r="M58" s="186"/>
      <c r="N58" s="186"/>
      <c r="O58" s="33"/>
      <c r="P58" s="212"/>
      <c r="Q58" s="33"/>
      <c r="R58" s="33">
        <v>1114298</v>
      </c>
      <c r="S58" s="33"/>
      <c r="T58" s="21"/>
      <c r="U58" s="189"/>
      <c r="V58" s="231"/>
      <c r="W58" s="231">
        <v>2600027</v>
      </c>
      <c r="X58" s="231"/>
      <c r="Y58" s="231"/>
      <c r="Z58" s="231"/>
      <c r="AA58" s="231"/>
      <c r="AB58" s="231"/>
      <c r="AC58" s="231"/>
      <c r="AD58" s="231">
        <v>1114298</v>
      </c>
      <c r="AE58" s="231"/>
      <c r="AF58" s="231"/>
      <c r="AG58" s="219">
        <f t="shared" si="8"/>
        <v>3714325</v>
      </c>
      <c r="AH58" s="124">
        <f t="shared" si="6"/>
        <v>0</v>
      </c>
      <c r="AK58" s="189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36">
        <v>2148105</v>
      </c>
      <c r="AW58" s="228">
        <f t="shared" si="10"/>
        <v>2148105</v>
      </c>
      <c r="AX58" s="431">
        <f t="shared" si="7"/>
        <v>1566220</v>
      </c>
    </row>
    <row r="59" spans="1:53" ht="15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5"/>
        <v>0</v>
      </c>
      <c r="I59" s="154"/>
      <c r="J59" s="221"/>
      <c r="K59" s="252"/>
      <c r="L59" s="206"/>
      <c r="M59" s="9"/>
      <c r="N59" s="9"/>
      <c r="O59" s="33"/>
      <c r="P59" s="212"/>
      <c r="Q59" s="33"/>
      <c r="R59" s="33"/>
      <c r="S59" s="33"/>
      <c r="T59" s="21"/>
      <c r="U59" s="68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6"/>
        <v>0</v>
      </c>
      <c r="AK59" s="68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7"/>
        <v>0</v>
      </c>
    </row>
    <row r="60" spans="1:53" ht="15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5"/>
        <v>0</v>
      </c>
      <c r="I60" s="154"/>
      <c r="J60" s="221"/>
      <c r="K60" s="252"/>
      <c r="L60" s="206"/>
      <c r="M60" s="9"/>
      <c r="N60" s="9"/>
      <c r="O60" s="33"/>
      <c r="P60" s="212"/>
      <c r="Q60" s="33"/>
      <c r="R60" s="33"/>
      <c r="S60" s="33"/>
      <c r="T60" s="21"/>
      <c r="U60" s="68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6"/>
        <v>0</v>
      </c>
      <c r="AK60" s="68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1">
        <f t="shared" si="7"/>
        <v>0</v>
      </c>
    </row>
    <row r="61" spans="1:53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5"/>
        <v>0</v>
      </c>
      <c r="I61" s="154"/>
      <c r="J61" s="221"/>
      <c r="K61" s="252"/>
      <c r="L61" s="206"/>
      <c r="M61" s="9"/>
      <c r="N61" s="9"/>
      <c r="O61" s="33"/>
      <c r="P61" s="212"/>
      <c r="Q61" s="33"/>
      <c r="R61" s="33"/>
      <c r="S61" s="33"/>
      <c r="T61" s="21"/>
      <c r="U61" s="68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6"/>
        <v>0</v>
      </c>
      <c r="AK61" s="68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1">
        <f t="shared" si="7"/>
        <v>0</v>
      </c>
    </row>
    <row r="62" spans="1:53" ht="15">
      <c r="A62" s="18">
        <v>29</v>
      </c>
      <c r="B62" s="7" t="s">
        <v>103</v>
      </c>
      <c r="C62" s="147"/>
      <c r="D62" s="13"/>
      <c r="E62" s="142"/>
      <c r="F62" s="143"/>
      <c r="G62" s="160"/>
      <c r="H62" s="319">
        <f t="shared" si="5"/>
        <v>0</v>
      </c>
      <c r="I62" s="154"/>
      <c r="J62" s="221"/>
      <c r="K62" s="252"/>
      <c r="L62" s="206"/>
      <c r="M62" s="9"/>
      <c r="N62" s="9"/>
      <c r="O62" s="33"/>
      <c r="P62" s="212"/>
      <c r="Q62" s="33"/>
      <c r="R62" s="33"/>
      <c r="S62" s="33"/>
      <c r="T62" s="21"/>
      <c r="U62" s="68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6"/>
        <v>0</v>
      </c>
      <c r="AK62" s="68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1">
        <f t="shared" si="7"/>
        <v>0</v>
      </c>
    </row>
    <row r="63" spans="1:53" ht="15">
      <c r="A63" s="573">
        <v>30</v>
      </c>
      <c r="B63" s="575" t="s">
        <v>90</v>
      </c>
      <c r="C63" s="576">
        <v>1967</v>
      </c>
      <c r="D63" s="577">
        <v>30029685</v>
      </c>
      <c r="E63" s="578">
        <f>+D63*E31</f>
        <v>21020779.5</v>
      </c>
      <c r="F63" s="579">
        <f>+D63*F31</f>
        <v>9008905.5</v>
      </c>
      <c r="G63" s="580"/>
      <c r="H63" s="319">
        <f t="shared" si="5"/>
        <v>30029685</v>
      </c>
      <c r="I63" s="154"/>
      <c r="J63" s="221"/>
      <c r="K63" s="252">
        <v>21020780</v>
      </c>
      <c r="L63" s="206"/>
      <c r="M63" s="9"/>
      <c r="N63" s="9"/>
      <c r="O63" s="33"/>
      <c r="P63" s="212"/>
      <c r="Q63" s="33"/>
      <c r="R63" s="33">
        <v>9008905</v>
      </c>
      <c r="S63" s="33"/>
      <c r="T63" s="21"/>
      <c r="U63" s="68"/>
      <c r="V63" s="206"/>
      <c r="W63" s="206">
        <v>21020780</v>
      </c>
      <c r="X63" s="206"/>
      <c r="Y63" s="206"/>
      <c r="Z63" s="206"/>
      <c r="AA63" s="206"/>
      <c r="AB63" s="206"/>
      <c r="AC63" s="206"/>
      <c r="AD63" s="206">
        <v>9008905</v>
      </c>
      <c r="AE63" s="206"/>
      <c r="AF63" s="206"/>
      <c r="AG63" s="219">
        <f t="shared" si="8"/>
        <v>30029685</v>
      </c>
      <c r="AH63" s="124">
        <f t="shared" si="6"/>
        <v>0</v>
      </c>
      <c r="AK63" s="68">
        <v>0</v>
      </c>
      <c r="AL63" s="206">
        <v>0</v>
      </c>
      <c r="AM63" s="206"/>
      <c r="AN63" s="206"/>
      <c r="AO63" s="206">
        <v>13077388</v>
      </c>
      <c r="AP63" s="206"/>
      <c r="AQ63" s="206">
        <v>5828484</v>
      </c>
      <c r="AR63" s="206"/>
      <c r="AS63" s="206">
        <v>6917439</v>
      </c>
      <c r="AT63" s="206">
        <v>1530003</v>
      </c>
      <c r="AU63" s="206"/>
      <c r="AV63" s="227">
        <v>8731735</v>
      </c>
      <c r="AW63" s="228">
        <f t="shared" si="10"/>
        <v>36085049</v>
      </c>
      <c r="AX63" s="431">
        <f t="shared" si="7"/>
        <v>-6055364</v>
      </c>
    </row>
    <row r="64" spans="1:53" ht="15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5"/>
        <v>0</v>
      </c>
      <c r="I64" s="154"/>
      <c r="J64" s="221"/>
      <c r="K64" s="252"/>
      <c r="L64" s="206"/>
      <c r="M64" s="9"/>
      <c r="N64" s="9"/>
      <c r="O64" s="33"/>
      <c r="P64" s="212"/>
      <c r="Q64" s="33"/>
      <c r="R64" s="33"/>
      <c r="S64" s="33"/>
      <c r="T64" s="21"/>
      <c r="U64" s="68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6"/>
        <v>0</v>
      </c>
      <c r="AK64" s="68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1">
        <f t="shared" si="7"/>
        <v>0</v>
      </c>
    </row>
    <row r="65" spans="1:50" ht="15">
      <c r="A65" s="573">
        <v>32</v>
      </c>
      <c r="B65" s="575" t="s">
        <v>92</v>
      </c>
      <c r="C65" s="576">
        <v>1377</v>
      </c>
      <c r="D65" s="577">
        <v>1957760</v>
      </c>
      <c r="E65" s="578">
        <f>+D65*$E$31</f>
        <v>1370432</v>
      </c>
      <c r="F65" s="579">
        <f>+D65*F31</f>
        <v>587328</v>
      </c>
      <c r="G65" s="580"/>
      <c r="H65" s="319">
        <f t="shared" si="5"/>
        <v>1957760</v>
      </c>
      <c r="I65" s="154"/>
      <c r="J65" s="221"/>
      <c r="K65" s="252">
        <v>1370432</v>
      </c>
      <c r="L65" s="206"/>
      <c r="M65" s="9"/>
      <c r="N65" s="9"/>
      <c r="O65" s="33"/>
      <c r="P65" s="212"/>
      <c r="Q65" s="33"/>
      <c r="R65" s="33">
        <v>587328</v>
      </c>
      <c r="S65" s="33"/>
      <c r="T65" s="21"/>
      <c r="U65" s="68"/>
      <c r="V65" s="206"/>
      <c r="W65" s="206">
        <v>1370432</v>
      </c>
      <c r="X65" s="206"/>
      <c r="Y65" s="206"/>
      <c r="Z65" s="206"/>
      <c r="AA65" s="206"/>
      <c r="AB65" s="206"/>
      <c r="AC65" s="206"/>
      <c r="AD65" s="206"/>
      <c r="AE65" s="206">
        <v>587328</v>
      </c>
      <c r="AF65" s="206"/>
      <c r="AG65" s="219">
        <f t="shared" si="8"/>
        <v>1957760</v>
      </c>
      <c r="AH65" s="124">
        <f t="shared" si="6"/>
        <v>0</v>
      </c>
      <c r="AK65" s="68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0"/>
        <v>0</v>
      </c>
      <c r="AX65" s="431">
        <f t="shared" si="7"/>
        <v>1957760</v>
      </c>
    </row>
    <row r="66" spans="1:50" ht="15">
      <c r="A66" s="573">
        <v>33</v>
      </c>
      <c r="B66" s="568" t="s">
        <v>107</v>
      </c>
      <c r="C66" s="569">
        <v>1859</v>
      </c>
      <c r="D66" s="567">
        <v>4040477</v>
      </c>
      <c r="E66" s="563">
        <f>+D66*E31</f>
        <v>2828333.9</v>
      </c>
      <c r="F66" s="564">
        <f>+D66*F31</f>
        <v>1212143.0999999999</v>
      </c>
      <c r="G66" s="565"/>
      <c r="H66" s="319">
        <f t="shared" si="5"/>
        <v>4040477</v>
      </c>
      <c r="I66" s="155"/>
      <c r="J66" s="222"/>
      <c r="K66" s="252">
        <v>2828333</v>
      </c>
      <c r="L66" s="210"/>
      <c r="M66" s="48"/>
      <c r="N66" s="48"/>
      <c r="O66" s="33"/>
      <c r="P66" s="212"/>
      <c r="Q66" s="33"/>
      <c r="R66" s="33">
        <v>1212144</v>
      </c>
      <c r="S66" s="33"/>
      <c r="T66" s="21"/>
      <c r="U66" s="177"/>
      <c r="V66" s="210"/>
      <c r="W66" s="210">
        <v>2828333</v>
      </c>
      <c r="X66" s="210"/>
      <c r="Y66" s="210"/>
      <c r="Z66" s="210"/>
      <c r="AA66" s="210"/>
      <c r="AB66" s="210"/>
      <c r="AC66" s="210"/>
      <c r="AD66" s="210">
        <v>1212144</v>
      </c>
      <c r="AE66" s="210"/>
      <c r="AF66" s="210"/>
      <c r="AG66" s="219">
        <f t="shared" si="8"/>
        <v>4040477</v>
      </c>
      <c r="AH66" s="124">
        <f t="shared" si="6"/>
        <v>0</v>
      </c>
      <c r="AK66" s="177"/>
      <c r="AL66" s="210"/>
      <c r="AM66" s="210"/>
      <c r="AN66" s="210"/>
      <c r="AO66" s="210"/>
      <c r="AP66" s="210"/>
      <c r="AQ66" s="210">
        <v>1775090</v>
      </c>
      <c r="AR66" s="210">
        <v>471263</v>
      </c>
      <c r="AS66" s="210">
        <v>471263</v>
      </c>
      <c r="AT66" s="210">
        <v>471263</v>
      </c>
      <c r="AU66" s="210">
        <v>471263</v>
      </c>
      <c r="AV66" s="229">
        <v>471263</v>
      </c>
      <c r="AW66" s="228">
        <f t="shared" si="10"/>
        <v>4131405</v>
      </c>
      <c r="AX66" s="431">
        <f t="shared" si="7"/>
        <v>-90928</v>
      </c>
    </row>
    <row r="67" spans="1:50" ht="15">
      <c r="A67" s="573">
        <v>34</v>
      </c>
      <c r="B67" s="568" t="s">
        <v>180</v>
      </c>
      <c r="C67" s="569" t="s">
        <v>304</v>
      </c>
      <c r="D67" s="567">
        <f>5780038+14180000+8321742+9423096</f>
        <v>37704876</v>
      </c>
      <c r="E67" s="563">
        <v>4046026.5999999996</v>
      </c>
      <c r="F67" s="564">
        <v>1734011.4</v>
      </c>
      <c r="G67" s="565">
        <f>14180000+28321742</f>
        <v>42501742</v>
      </c>
      <c r="H67" s="319">
        <f t="shared" si="5"/>
        <v>37704876</v>
      </c>
      <c r="I67" s="155"/>
      <c r="J67" s="222"/>
      <c r="K67" s="252">
        <v>4046026</v>
      </c>
      <c r="L67" s="210">
        <v>5879974</v>
      </c>
      <c r="M67" s="48">
        <v>9571190</v>
      </c>
      <c r="N67" s="48"/>
      <c r="O67" s="33"/>
      <c r="P67" s="212">
        <v>5825220</v>
      </c>
      <c r="Q67" s="33"/>
      <c r="R67" s="33">
        <f>2224748+734622</f>
        <v>2959370</v>
      </c>
      <c r="S67" s="33">
        <v>9423096</v>
      </c>
      <c r="T67" s="21"/>
      <c r="U67" s="177"/>
      <c r="V67" s="210"/>
      <c r="W67" s="210">
        <v>4046026</v>
      </c>
      <c r="X67" s="210">
        <v>5879974</v>
      </c>
      <c r="Y67" s="210">
        <v>9571190</v>
      </c>
      <c r="Z67" s="210"/>
      <c r="AA67" s="210"/>
      <c r="AB67" s="210">
        <v>5825220</v>
      </c>
      <c r="AC67" s="210"/>
      <c r="AD67" s="210">
        <f>2224748+734622</f>
        <v>2959370</v>
      </c>
      <c r="AE67" s="210">
        <v>9423096</v>
      </c>
      <c r="AF67" s="210"/>
      <c r="AG67" s="219">
        <f t="shared" si="8"/>
        <v>37704876</v>
      </c>
      <c r="AH67" s="124">
        <f t="shared" si="6"/>
        <v>0</v>
      </c>
      <c r="AK67" s="177"/>
      <c r="AL67" s="210"/>
      <c r="AM67" s="210"/>
      <c r="AN67" s="210"/>
      <c r="AO67" s="210"/>
      <c r="AP67" s="210"/>
      <c r="AQ67" s="210">
        <v>16054797</v>
      </c>
      <c r="AR67" s="210">
        <v>580591</v>
      </c>
      <c r="AS67" s="210"/>
      <c r="AT67" s="210"/>
      <c r="AU67" s="210"/>
      <c r="AV67" s="229">
        <v>580591</v>
      </c>
      <c r="AW67" s="228">
        <f t="shared" si="10"/>
        <v>17215979</v>
      </c>
      <c r="AX67" s="431">
        <f t="shared" si="7"/>
        <v>20488897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ref="H68:H82" si="13">SUM(I68:T68)</f>
        <v>0</v>
      </c>
      <c r="I68" s="155"/>
      <c r="J68" s="222"/>
      <c r="K68" s="252"/>
      <c r="L68" s="210"/>
      <c r="M68" s="48"/>
      <c r="N68" s="48"/>
      <c r="O68" s="33"/>
      <c r="P68" s="212"/>
      <c r="Q68" s="33"/>
      <c r="R68" s="33"/>
      <c r="S68" s="33"/>
      <c r="T68" s="21"/>
      <c r="U68" s="177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4">SUM(U68:AF68)</f>
        <v>0</v>
      </c>
      <c r="AH68" s="124">
        <f t="shared" si="6"/>
        <v>0</v>
      </c>
      <c r="AK68" s="177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5">SUM(AK68:AV68)</f>
        <v>0</v>
      </c>
      <c r="AX68" s="431">
        <f t="shared" si="7"/>
        <v>0</v>
      </c>
    </row>
    <row r="69" spans="1:50" ht="15">
      <c r="A69" s="18">
        <v>36</v>
      </c>
      <c r="B69" s="52" t="s">
        <v>314</v>
      </c>
      <c r="C69" s="148" t="s">
        <v>317</v>
      </c>
      <c r="D69" s="43">
        <v>8402800</v>
      </c>
      <c r="E69" s="174">
        <f>+D69</f>
        <v>8402800</v>
      </c>
      <c r="F69" s="175"/>
      <c r="G69" s="176"/>
      <c r="H69" s="319">
        <f t="shared" si="13"/>
        <v>8402800</v>
      </c>
      <c r="I69" s="155"/>
      <c r="J69" s="222"/>
      <c r="K69" s="252"/>
      <c r="L69" s="210"/>
      <c r="M69" s="48"/>
      <c r="N69" s="48"/>
      <c r="O69" s="33"/>
      <c r="P69" s="212"/>
      <c r="Q69" s="33"/>
      <c r="R69" s="33"/>
      <c r="S69" s="33"/>
      <c r="T69" s="21">
        <v>8402800</v>
      </c>
      <c r="U69" s="177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>
        <v>8402800</v>
      </c>
      <c r="AG69" s="219">
        <f t="shared" si="14"/>
        <v>8402800</v>
      </c>
      <c r="AH69" s="124">
        <f t="shared" si="6"/>
        <v>0</v>
      </c>
      <c r="AK69" s="177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5"/>
        <v>0</v>
      </c>
      <c r="AX69" s="431">
        <f t="shared" si="7"/>
        <v>8402800</v>
      </c>
    </row>
    <row r="70" spans="1:50" ht="15">
      <c r="A70" s="573">
        <v>37</v>
      </c>
      <c r="B70" s="568" t="s">
        <v>132</v>
      </c>
      <c r="C70" s="569">
        <v>2253</v>
      </c>
      <c r="D70" s="567">
        <v>14466256</v>
      </c>
      <c r="E70" s="563">
        <f>+D70*0.5</f>
        <v>7233128</v>
      </c>
      <c r="F70" s="564">
        <f>+D70*0.25</f>
        <v>3616564</v>
      </c>
      <c r="G70" s="565">
        <f>+D70*0.25</f>
        <v>3616564</v>
      </c>
      <c r="H70" s="319">
        <f t="shared" si="13"/>
        <v>14466256</v>
      </c>
      <c r="I70" s="155"/>
      <c r="J70" s="222"/>
      <c r="K70" s="252"/>
      <c r="L70" s="210"/>
      <c r="M70" s="48">
        <v>7233128</v>
      </c>
      <c r="N70" s="48"/>
      <c r="O70" s="33"/>
      <c r="P70" s="212">
        <v>3616564</v>
      </c>
      <c r="Q70" s="33"/>
      <c r="R70" s="33">
        <v>3616564</v>
      </c>
      <c r="S70" s="33"/>
      <c r="T70" s="21"/>
      <c r="U70" s="177"/>
      <c r="V70" s="210"/>
      <c r="W70" s="210"/>
      <c r="X70" s="210"/>
      <c r="Y70" s="210">
        <v>7233128</v>
      </c>
      <c r="Z70" s="210"/>
      <c r="AA70" s="210"/>
      <c r="AB70" s="210"/>
      <c r="AC70" s="210">
        <v>3616564</v>
      </c>
      <c r="AD70" s="210">
        <v>3616564</v>
      </c>
      <c r="AE70" s="210"/>
      <c r="AF70" s="210"/>
      <c r="AG70" s="219">
        <f t="shared" si="14"/>
        <v>14466256</v>
      </c>
      <c r="AH70" s="124">
        <f t="shared" si="6"/>
        <v>0</v>
      </c>
      <c r="AK70" s="177"/>
      <c r="AL70" s="210"/>
      <c r="AM70" s="210"/>
      <c r="AN70" s="210"/>
      <c r="AO70" s="210"/>
      <c r="AP70" s="210"/>
      <c r="AQ70" s="210"/>
      <c r="AR70" s="210">
        <v>6214023</v>
      </c>
      <c r="AS70" s="210"/>
      <c r="AT70" s="210">
        <v>1498930</v>
      </c>
      <c r="AU70" s="210">
        <v>2997860</v>
      </c>
      <c r="AV70" s="229">
        <v>1498930</v>
      </c>
      <c r="AW70" s="228">
        <f t="shared" si="15"/>
        <v>12209743</v>
      </c>
      <c r="AX70" s="431">
        <f t="shared" si="7"/>
        <v>2256513</v>
      </c>
    </row>
    <row r="71" spans="1:50" ht="15">
      <c r="A71" s="573">
        <v>38</v>
      </c>
      <c r="B71" s="568" t="s">
        <v>129</v>
      </c>
      <c r="C71" s="569">
        <v>3476</v>
      </c>
      <c r="D71" s="567">
        <v>1445820</v>
      </c>
      <c r="E71" s="563">
        <f>+D71*0.7</f>
        <v>1012073.9999999999</v>
      </c>
      <c r="F71" s="564">
        <f>+D71*0.3</f>
        <v>433746</v>
      </c>
      <c r="G71" s="565"/>
      <c r="H71" s="319">
        <f t="shared" si="13"/>
        <v>1445820</v>
      </c>
      <c r="I71" s="155"/>
      <c r="J71" s="222"/>
      <c r="K71" s="252"/>
      <c r="L71" s="210"/>
      <c r="M71" s="48"/>
      <c r="N71" s="48"/>
      <c r="O71" s="33">
        <v>1012074</v>
      </c>
      <c r="P71" s="212"/>
      <c r="Q71" s="33"/>
      <c r="R71" s="33"/>
      <c r="S71" s="33">
        <v>433746</v>
      </c>
      <c r="T71" s="21"/>
      <c r="U71" s="177"/>
      <c r="V71" s="210"/>
      <c r="W71" s="210"/>
      <c r="X71" s="210"/>
      <c r="Y71" s="210"/>
      <c r="Z71" s="210"/>
      <c r="AA71" s="210">
        <v>1012074</v>
      </c>
      <c r="AB71" s="210"/>
      <c r="AC71" s="210"/>
      <c r="AD71" s="210"/>
      <c r="AE71" s="210">
        <v>433746</v>
      </c>
      <c r="AF71" s="210"/>
      <c r="AG71" s="219">
        <f t="shared" si="14"/>
        <v>1445820</v>
      </c>
      <c r="AH71" s="124">
        <f t="shared" si="6"/>
        <v>0</v>
      </c>
      <c r="AK71" s="177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5"/>
        <v>0</v>
      </c>
      <c r="AX71" s="431">
        <f t="shared" si="7"/>
        <v>1445820</v>
      </c>
    </row>
    <row r="72" spans="1:50" ht="15">
      <c r="A72" s="18">
        <v>39</v>
      </c>
      <c r="B72" s="52" t="s">
        <v>133</v>
      </c>
      <c r="C72" s="148"/>
      <c r="D72" s="43"/>
      <c r="E72" s="174"/>
      <c r="F72" s="175"/>
      <c r="G72" s="176"/>
      <c r="H72" s="319">
        <f t="shared" si="13"/>
        <v>0</v>
      </c>
      <c r="I72" s="155"/>
      <c r="J72" s="222"/>
      <c r="K72" s="252"/>
      <c r="L72" s="210"/>
      <c r="M72" s="48"/>
      <c r="N72" s="48"/>
      <c r="O72" s="33"/>
      <c r="P72" s="212"/>
      <c r="Q72" s="33"/>
      <c r="R72" s="33"/>
      <c r="S72" s="33"/>
      <c r="T72" s="21"/>
      <c r="U72" s="177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4"/>
        <v>0</v>
      </c>
      <c r="AH72" s="124">
        <f t="shared" si="6"/>
        <v>0</v>
      </c>
      <c r="AK72" s="177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5"/>
        <v>0</v>
      </c>
      <c r="AX72" s="431">
        <f t="shared" si="7"/>
        <v>0</v>
      </c>
    </row>
    <row r="73" spans="1:50" ht="15">
      <c r="A73" s="18">
        <v>40</v>
      </c>
      <c r="B73" s="52" t="s">
        <v>134</v>
      </c>
      <c r="C73" s="148"/>
      <c r="D73" s="43"/>
      <c r="E73" s="174"/>
      <c r="F73" s="175"/>
      <c r="G73" s="176"/>
      <c r="H73" s="319">
        <f t="shared" si="13"/>
        <v>0</v>
      </c>
      <c r="I73" s="155"/>
      <c r="J73" s="222"/>
      <c r="K73" s="252"/>
      <c r="L73" s="210"/>
      <c r="M73" s="48"/>
      <c r="N73" s="48"/>
      <c r="O73" s="33"/>
      <c r="P73" s="212"/>
      <c r="Q73" s="33"/>
      <c r="R73" s="33"/>
      <c r="S73" s="33"/>
      <c r="T73" s="21"/>
      <c r="U73" s="177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4"/>
        <v>0</v>
      </c>
      <c r="AH73" s="124">
        <f t="shared" si="6"/>
        <v>0</v>
      </c>
      <c r="AK73" s="177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5"/>
        <v>0</v>
      </c>
      <c r="AX73" s="431">
        <f t="shared" si="7"/>
        <v>0</v>
      </c>
    </row>
    <row r="74" spans="1:50" ht="15">
      <c r="A74" s="18">
        <v>41</v>
      </c>
      <c r="B74" s="52" t="s">
        <v>135</v>
      </c>
      <c r="C74" s="148"/>
      <c r="D74" s="43"/>
      <c r="E74" s="174"/>
      <c r="F74" s="175"/>
      <c r="G74" s="176"/>
      <c r="H74" s="319">
        <f t="shared" si="13"/>
        <v>0</v>
      </c>
      <c r="I74" s="155"/>
      <c r="J74" s="222"/>
      <c r="K74" s="252"/>
      <c r="L74" s="210"/>
      <c r="M74" s="48"/>
      <c r="N74" s="48"/>
      <c r="O74" s="33"/>
      <c r="P74" s="212"/>
      <c r="Q74" s="33"/>
      <c r="R74" s="33"/>
      <c r="S74" s="33"/>
      <c r="T74" s="21"/>
      <c r="U74" s="177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4"/>
        <v>0</v>
      </c>
      <c r="AH74" s="124">
        <f t="shared" si="6"/>
        <v>0</v>
      </c>
      <c r="AK74" s="177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5"/>
        <v>0</v>
      </c>
      <c r="AX74" s="431">
        <f t="shared" si="7"/>
        <v>0</v>
      </c>
    </row>
    <row r="75" spans="1:50" ht="15">
      <c r="A75" s="573">
        <v>42</v>
      </c>
      <c r="B75" s="568" t="s">
        <v>198</v>
      </c>
      <c r="C75" s="569" t="s">
        <v>199</v>
      </c>
      <c r="D75" s="567">
        <v>1551011</v>
      </c>
      <c r="E75" s="736" t="s">
        <v>172</v>
      </c>
      <c r="F75" s="737"/>
      <c r="G75" s="738"/>
      <c r="H75" s="319">
        <f t="shared" si="13"/>
        <v>1551000</v>
      </c>
      <c r="I75" s="155"/>
      <c r="J75" s="222"/>
      <c r="K75" s="252"/>
      <c r="L75" s="210"/>
      <c r="M75" s="48"/>
      <c r="N75" s="48"/>
      <c r="O75" s="33"/>
      <c r="P75" s="212"/>
      <c r="Q75" s="33">
        <v>1551000</v>
      </c>
      <c r="R75" s="33"/>
      <c r="S75" s="33"/>
      <c r="T75" s="21"/>
      <c r="U75" s="177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6">SUM(U75:AF75)</f>
        <v>0</v>
      </c>
      <c r="AH75" s="124">
        <f t="shared" si="6"/>
        <v>1551000</v>
      </c>
      <c r="AK75" s="177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7">SUM(AK75:AV75)</f>
        <v>0</v>
      </c>
      <c r="AX75" s="431">
        <f t="shared" si="7"/>
        <v>0</v>
      </c>
    </row>
    <row r="76" spans="1:50" ht="15">
      <c r="A76" s="573">
        <v>43</v>
      </c>
      <c r="B76" s="568" t="s">
        <v>173</v>
      </c>
      <c r="C76" s="569" t="s">
        <v>197</v>
      </c>
      <c r="D76" s="567">
        <v>3126000</v>
      </c>
      <c r="E76" s="736" t="s">
        <v>172</v>
      </c>
      <c r="F76" s="737"/>
      <c r="G76" s="738"/>
      <c r="H76" s="319">
        <f t="shared" si="13"/>
        <v>3126000</v>
      </c>
      <c r="I76" s="155"/>
      <c r="J76" s="222"/>
      <c r="K76" s="252"/>
      <c r="L76" s="210"/>
      <c r="M76" s="48"/>
      <c r="N76" s="48"/>
      <c r="O76" s="33"/>
      <c r="P76" s="212">
        <v>2188200</v>
      </c>
      <c r="Q76" s="33"/>
      <c r="R76" s="33"/>
      <c r="S76" s="33">
        <v>937800</v>
      </c>
      <c r="T76" s="21"/>
      <c r="U76" s="177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6"/>
        <v>0</v>
      </c>
      <c r="AH76" s="124">
        <f t="shared" si="6"/>
        <v>3126000</v>
      </c>
      <c r="AI76" s="170">
        <f>+AH75+AH76</f>
        <v>4677000</v>
      </c>
      <c r="AK76" s="177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7"/>
        <v>0</v>
      </c>
      <c r="AX76" s="431">
        <f t="shared" si="7"/>
        <v>0</v>
      </c>
    </row>
    <row r="77" spans="1:50" ht="15">
      <c r="A77" s="18">
        <v>44</v>
      </c>
      <c r="B77" s="52" t="s">
        <v>188</v>
      </c>
      <c r="C77" s="148"/>
      <c r="D77" s="43"/>
      <c r="E77" s="479"/>
      <c r="F77" s="480"/>
      <c r="G77" s="480"/>
      <c r="H77" s="319">
        <f t="shared" si="13"/>
        <v>0</v>
      </c>
      <c r="I77" s="155"/>
      <c r="J77" s="222"/>
      <c r="K77" s="252"/>
      <c r="L77" s="210"/>
      <c r="M77" s="48"/>
      <c r="N77" s="48"/>
      <c r="O77" s="33"/>
      <c r="P77" s="212"/>
      <c r="Q77" s="33"/>
      <c r="R77" s="33"/>
      <c r="S77" s="33"/>
      <c r="T77" s="21"/>
      <c r="U77" s="177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6"/>
        <v>0</v>
      </c>
      <c r="AH77" s="124">
        <f t="shared" si="6"/>
        <v>0</v>
      </c>
      <c r="AK77" s="177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7"/>
        <v>0</v>
      </c>
      <c r="AX77" s="431">
        <f t="shared" si="7"/>
        <v>0</v>
      </c>
    </row>
    <row r="78" spans="1:50" ht="15">
      <c r="A78" s="18">
        <v>45</v>
      </c>
      <c r="B78" s="52" t="s">
        <v>189</v>
      </c>
      <c r="C78" s="148"/>
      <c r="D78" s="43"/>
      <c r="E78" s="720" t="s">
        <v>172</v>
      </c>
      <c r="F78" s="721"/>
      <c r="G78" s="722"/>
      <c r="H78" s="319">
        <f t="shared" si="13"/>
        <v>0</v>
      </c>
      <c r="I78" s="155"/>
      <c r="J78" s="222"/>
      <c r="K78" s="252"/>
      <c r="L78" s="210"/>
      <c r="M78" s="48"/>
      <c r="N78" s="48"/>
      <c r="O78" s="33"/>
      <c r="P78" s="212"/>
      <c r="Q78" s="33"/>
      <c r="R78" s="33"/>
      <c r="S78" s="33"/>
      <c r="T78" s="21"/>
      <c r="U78" s="177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6"/>
        <v>0</v>
      </c>
      <c r="AH78" s="124">
        <f t="shared" si="6"/>
        <v>0</v>
      </c>
      <c r="AK78" s="177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7"/>
        <v>0</v>
      </c>
      <c r="AX78" s="431">
        <f>+AG78-AW78</f>
        <v>0</v>
      </c>
    </row>
    <row r="79" spans="1:50" ht="15">
      <c r="A79" s="18"/>
      <c r="B79" s="52" t="s">
        <v>205</v>
      </c>
      <c r="C79" s="148"/>
      <c r="D79" s="43"/>
      <c r="E79" s="479"/>
      <c r="F79" s="480"/>
      <c r="G79" s="480"/>
      <c r="H79" s="319">
        <f t="shared" si="13"/>
        <v>0</v>
      </c>
      <c r="I79" s="155"/>
      <c r="J79" s="222"/>
      <c r="K79" s="252"/>
      <c r="L79" s="210"/>
      <c r="M79" s="48"/>
      <c r="N79" s="48"/>
      <c r="O79" s="33"/>
      <c r="P79" s="212"/>
      <c r="Q79" s="33"/>
      <c r="R79" s="33"/>
      <c r="S79" s="33"/>
      <c r="T79" s="21"/>
      <c r="U79" s="177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6"/>
        <v>0</v>
      </c>
      <c r="AH79" s="124">
        <f t="shared" si="6"/>
        <v>0</v>
      </c>
      <c r="AK79" s="177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7"/>
        <v>0</v>
      </c>
      <c r="AX79" s="431">
        <f>+AG79-AW79</f>
        <v>0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176"/>
      <c r="H80" s="319">
        <f t="shared" si="13"/>
        <v>0</v>
      </c>
      <c r="I80" s="155"/>
      <c r="J80" s="222"/>
      <c r="K80" s="252"/>
      <c r="L80" s="210"/>
      <c r="M80" s="48"/>
      <c r="N80" s="48"/>
      <c r="O80" s="33"/>
      <c r="P80" s="212"/>
      <c r="Q80" s="33"/>
      <c r="R80" s="33"/>
      <c r="S80" s="33"/>
      <c r="T80" s="21"/>
      <c r="U80" s="177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6"/>
        <v>0</v>
      </c>
      <c r="AH80" s="124">
        <f t="shared" si="6"/>
        <v>0</v>
      </c>
      <c r="AK80" s="177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7"/>
        <v>0</v>
      </c>
      <c r="AX80" s="431">
        <f>+AG80-AW80</f>
        <v>0</v>
      </c>
    </row>
    <row r="81" spans="1:50" ht="15">
      <c r="A81" s="621"/>
      <c r="B81" s="568" t="s">
        <v>256</v>
      </c>
      <c r="C81" s="569" t="s">
        <v>265</v>
      </c>
      <c r="D81" s="567">
        <v>5631310</v>
      </c>
      <c r="E81" s="563">
        <f>+D81</f>
        <v>5631310</v>
      </c>
      <c r="F81" s="564"/>
      <c r="G81" s="565"/>
      <c r="H81" s="319">
        <f t="shared" si="13"/>
        <v>5631310</v>
      </c>
      <c r="I81" s="155"/>
      <c r="J81" s="222"/>
      <c r="K81" s="252"/>
      <c r="L81" s="210"/>
      <c r="M81" s="48"/>
      <c r="N81" s="48"/>
      <c r="O81" s="33"/>
      <c r="P81" s="212"/>
      <c r="Q81" s="33"/>
      <c r="R81" s="33">
        <v>5631310</v>
      </c>
      <c r="S81" s="33"/>
      <c r="T81" s="21"/>
      <c r="U81" s="177"/>
      <c r="V81" s="210"/>
      <c r="W81" s="210"/>
      <c r="X81" s="210"/>
      <c r="Y81" s="210"/>
      <c r="Z81" s="210"/>
      <c r="AA81" s="210"/>
      <c r="AB81" s="210"/>
      <c r="AC81" s="210"/>
      <c r="AD81" s="210">
        <v>5631310</v>
      </c>
      <c r="AE81" s="210"/>
      <c r="AF81" s="210"/>
      <c r="AG81" s="219">
        <f t="shared" si="16"/>
        <v>5631310</v>
      </c>
      <c r="AH81" s="124">
        <f t="shared" si="6"/>
        <v>0</v>
      </c>
      <c r="AK81" s="177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7"/>
        <v>0</v>
      </c>
      <c r="AX81" s="431">
        <f>+AG81-AW81</f>
        <v>5631310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19">
        <f t="shared" si="13"/>
        <v>0</v>
      </c>
      <c r="I82" s="155"/>
      <c r="J82" s="222"/>
      <c r="K82" s="252"/>
      <c r="L82" s="210"/>
      <c r="M82" s="48"/>
      <c r="N82" s="48"/>
      <c r="O82" s="33"/>
      <c r="P82" s="212"/>
      <c r="Q82" s="33"/>
      <c r="R82" s="33"/>
      <c r="S82" s="33"/>
      <c r="T82" s="21"/>
      <c r="U82" s="177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6"/>
        <v>0</v>
      </c>
      <c r="AH82" s="124">
        <f>+H82-AG82</f>
        <v>0</v>
      </c>
      <c r="AK82" s="177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7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454961908</v>
      </c>
      <c r="E83" s="86"/>
      <c r="F83" s="87"/>
      <c r="G83" s="88"/>
      <c r="H83" s="342">
        <f t="shared" ref="H83:AG83" si="18">SUM(H34:H82)</f>
        <v>458238026.69999999</v>
      </c>
      <c r="I83" s="116">
        <f t="shared" si="18"/>
        <v>0</v>
      </c>
      <c r="J83" s="256">
        <f t="shared" si="18"/>
        <v>0</v>
      </c>
      <c r="K83" s="256">
        <f t="shared" si="18"/>
        <v>194355585.09999999</v>
      </c>
      <c r="L83" s="256">
        <f t="shared" si="18"/>
        <v>19394911</v>
      </c>
      <c r="M83" s="117">
        <f t="shared" si="18"/>
        <v>58390829</v>
      </c>
      <c r="N83" s="117">
        <f t="shared" si="18"/>
        <v>7272343</v>
      </c>
      <c r="O83" s="117">
        <f t="shared" si="18"/>
        <v>8284417</v>
      </c>
      <c r="P83" s="256">
        <f t="shared" si="18"/>
        <v>18902327</v>
      </c>
      <c r="Q83" s="117">
        <f t="shared" si="18"/>
        <v>8823343</v>
      </c>
      <c r="R83" s="117">
        <f t="shared" si="18"/>
        <v>101877333.90000001</v>
      </c>
      <c r="S83" s="117">
        <f t="shared" si="18"/>
        <v>25261794.699999999</v>
      </c>
      <c r="T83" s="117">
        <f t="shared" si="18"/>
        <v>15675143</v>
      </c>
      <c r="U83" s="115">
        <f t="shared" si="18"/>
        <v>0</v>
      </c>
      <c r="V83" s="115">
        <f t="shared" si="18"/>
        <v>0</v>
      </c>
      <c r="W83" s="115">
        <f t="shared" si="18"/>
        <v>194355585.40000001</v>
      </c>
      <c r="X83" s="115">
        <f t="shared" si="18"/>
        <v>19394911</v>
      </c>
      <c r="Y83" s="115">
        <f t="shared" si="18"/>
        <v>58390829</v>
      </c>
      <c r="Z83" s="115">
        <f t="shared" si="18"/>
        <v>0</v>
      </c>
      <c r="AA83" s="115">
        <f t="shared" si="18"/>
        <v>8284417</v>
      </c>
      <c r="AB83" s="115">
        <f t="shared" si="18"/>
        <v>13097563</v>
      </c>
      <c r="AC83" s="115">
        <f t="shared" si="18"/>
        <v>18161250</v>
      </c>
      <c r="AD83" s="115">
        <f t="shared" si="18"/>
        <v>75215779.700000003</v>
      </c>
      <c r="AE83" s="115">
        <f t="shared" si="18"/>
        <v>50985549.200000003</v>
      </c>
      <c r="AF83" s="115">
        <f t="shared" si="18"/>
        <v>15675143</v>
      </c>
      <c r="AG83" s="115">
        <f t="shared" si="18"/>
        <v>453561027.30000001</v>
      </c>
      <c r="AH83" s="125">
        <f>+H83-AG83</f>
        <v>4676999.3999999762</v>
      </c>
      <c r="AK83" s="424">
        <f t="shared" ref="AK83:AX83" si="19">SUM(AK34:AK82)</f>
        <v>0</v>
      </c>
      <c r="AL83" s="424">
        <f t="shared" si="19"/>
        <v>0</v>
      </c>
      <c r="AM83" s="424">
        <f t="shared" si="19"/>
        <v>0</v>
      </c>
      <c r="AN83" s="424">
        <f t="shared" si="19"/>
        <v>6616278</v>
      </c>
      <c r="AO83" s="424">
        <f t="shared" si="19"/>
        <v>13077388</v>
      </c>
      <c r="AP83" s="424">
        <f t="shared" si="19"/>
        <v>0</v>
      </c>
      <c r="AQ83" s="424">
        <f t="shared" si="19"/>
        <v>117272085</v>
      </c>
      <c r="AR83" s="424">
        <f t="shared" si="19"/>
        <v>25215749</v>
      </c>
      <c r="AS83" s="424">
        <f t="shared" si="19"/>
        <v>25930044</v>
      </c>
      <c r="AT83" s="424">
        <f t="shared" si="19"/>
        <v>70676420</v>
      </c>
      <c r="AU83" s="424">
        <f t="shared" si="19"/>
        <v>24338568</v>
      </c>
      <c r="AV83" s="433">
        <f t="shared" si="19"/>
        <v>44101537</v>
      </c>
      <c r="AW83" s="447">
        <f t="shared" si="19"/>
        <v>327228069</v>
      </c>
      <c r="AX83" s="429">
        <f t="shared" si="19"/>
        <v>126332958.3</v>
      </c>
    </row>
    <row r="84" spans="1:50" s="376" customFormat="1" ht="15.75" thickBot="1">
      <c r="D84" s="377"/>
      <c r="E84" s="378"/>
      <c r="F84" s="378"/>
      <c r="G84" s="378"/>
      <c r="J84" s="207"/>
      <c r="K84" s="207"/>
      <c r="L84" s="379"/>
      <c r="P84" s="207"/>
      <c r="Q84" s="754" t="s">
        <v>146</v>
      </c>
      <c r="R84" s="755"/>
      <c r="S84" s="755"/>
      <c r="T84" s="755"/>
      <c r="U84" s="397">
        <v>3450402</v>
      </c>
      <c r="V84" s="396">
        <v>3450403</v>
      </c>
      <c r="W84" s="395">
        <v>3450405</v>
      </c>
      <c r="X84" s="396">
        <v>3450410</v>
      </c>
      <c r="Y84" s="395">
        <v>3454854</v>
      </c>
      <c r="Z84" s="396">
        <v>3467833</v>
      </c>
      <c r="AA84" s="395">
        <v>3481330</v>
      </c>
      <c r="AB84" s="396">
        <v>3491830</v>
      </c>
      <c r="AC84" s="395">
        <v>3510164</v>
      </c>
      <c r="AD84" s="396">
        <v>3513792</v>
      </c>
      <c r="AE84" s="395"/>
      <c r="AF84" s="395"/>
      <c r="AG84" s="379"/>
    </row>
    <row r="85" spans="1:50" ht="15.75" thickBot="1">
      <c r="A85" s="761" t="s">
        <v>94</v>
      </c>
      <c r="B85" s="762"/>
      <c r="C85" s="763"/>
      <c r="D85" s="133">
        <f>+D83+D30</f>
        <v>1580812048</v>
      </c>
      <c r="E85" s="127"/>
      <c r="F85" s="128"/>
      <c r="G85" s="128"/>
      <c r="H85" s="129">
        <f>+H30</f>
        <v>1326397599.5481598</v>
      </c>
      <c r="I85" s="130">
        <f t="shared" ref="I85:AH85" si="20">+I83+I30</f>
        <v>93820835</v>
      </c>
      <c r="J85" s="215">
        <f t="shared" si="20"/>
        <v>93833496</v>
      </c>
      <c r="K85" s="215">
        <f t="shared" si="20"/>
        <v>288182750.44015998</v>
      </c>
      <c r="L85" s="215">
        <f t="shared" si="20"/>
        <v>151722055</v>
      </c>
      <c r="M85" s="130">
        <f t="shared" si="20"/>
        <v>152217995</v>
      </c>
      <c r="N85" s="130">
        <f t="shared" si="20"/>
        <v>138803520</v>
      </c>
      <c r="O85" s="130">
        <f t="shared" si="20"/>
        <v>102111583</v>
      </c>
      <c r="P85" s="215">
        <f t="shared" si="20"/>
        <v>112729493</v>
      </c>
      <c r="Q85" s="130">
        <f t="shared" si="20"/>
        <v>140376955</v>
      </c>
      <c r="R85" s="130">
        <f t="shared" si="20"/>
        <v>243775689.90000001</v>
      </c>
      <c r="S85" s="130">
        <f t="shared" si="20"/>
        <v>118420974.7</v>
      </c>
      <c r="T85" s="131">
        <f t="shared" si="20"/>
        <v>148640279.208</v>
      </c>
      <c r="U85" s="129">
        <f t="shared" si="20"/>
        <v>93820835</v>
      </c>
      <c r="V85" s="215">
        <f t="shared" si="20"/>
        <v>93833496</v>
      </c>
      <c r="W85" s="285">
        <f t="shared" si="20"/>
        <v>288182751.39999998</v>
      </c>
      <c r="X85" s="242">
        <f t="shared" si="20"/>
        <v>151722055</v>
      </c>
      <c r="Y85" s="215">
        <f t="shared" si="20"/>
        <v>152217995</v>
      </c>
      <c r="Z85" s="285">
        <f t="shared" si="20"/>
        <v>131531177</v>
      </c>
      <c r="AA85" s="242">
        <f t="shared" si="20"/>
        <v>102111583</v>
      </c>
      <c r="AB85" s="215">
        <f t="shared" si="20"/>
        <v>106924729</v>
      </c>
      <c r="AC85" s="285">
        <f t="shared" si="20"/>
        <v>149714862</v>
      </c>
      <c r="AD85" s="242">
        <f t="shared" si="20"/>
        <v>217114135.69999999</v>
      </c>
      <c r="AE85" s="215">
        <f t="shared" si="20"/>
        <v>144144729.19999999</v>
      </c>
      <c r="AF85" s="285">
        <f t="shared" si="20"/>
        <v>148640279.208</v>
      </c>
      <c r="AG85" s="282">
        <f t="shared" si="20"/>
        <v>1779958627.5079999</v>
      </c>
      <c r="AH85" s="132">
        <f t="shared" si="20"/>
        <v>4676998.7401598692</v>
      </c>
      <c r="AR85" s="170"/>
    </row>
    <row r="87" spans="1:50" ht="15" thickBot="1">
      <c r="D87" s="1"/>
      <c r="E87" s="1"/>
      <c r="F87" s="1"/>
      <c r="G87" s="1"/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475837082.39999998</v>
      </c>
    </row>
    <row r="90" spans="1:50">
      <c r="A90" s="276" t="s">
        <v>120</v>
      </c>
      <c r="B90" s="706" t="s">
        <v>124</v>
      </c>
      <c r="C90" s="707"/>
      <c r="D90" s="277">
        <f>+X85+Y85+Z85</f>
        <v>435471227</v>
      </c>
      <c r="X90" s="476">
        <v>435471227</v>
      </c>
    </row>
    <row r="91" spans="1:50">
      <c r="A91" s="276" t="s">
        <v>121</v>
      </c>
      <c r="B91" s="706" t="s">
        <v>125</v>
      </c>
      <c r="C91" s="707"/>
      <c r="D91" s="277">
        <f>+AA85+AB85+AC85</f>
        <v>358751174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509899144.10799998</v>
      </c>
    </row>
    <row r="93" spans="1:50" ht="15.75" customHeight="1" thickBot="1">
      <c r="A93" s="756" t="s">
        <v>117</v>
      </c>
      <c r="B93" s="757"/>
      <c r="C93" s="757"/>
      <c r="D93" s="280">
        <f>SUM(D89:D92)</f>
        <v>1779958627.5080001</v>
      </c>
    </row>
    <row r="97" spans="2:5" ht="15">
      <c r="B97" s="509" t="s">
        <v>234</v>
      </c>
      <c r="E97" s="1"/>
    </row>
    <row r="98" spans="2:5">
      <c r="B98" s="700" t="s">
        <v>245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 t="s">
        <v>74</v>
      </c>
      <c r="D102" s="6">
        <v>7272343</v>
      </c>
    </row>
    <row r="103" spans="2:5" ht="15">
      <c r="C103" s="508" t="s">
        <v>236</v>
      </c>
      <c r="D103" s="511">
        <v>3616564</v>
      </c>
    </row>
    <row r="104" spans="2:5">
      <c r="D104" s="6">
        <f>SUM(D102:D103)</f>
        <v>10888907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BB104"/>
  <sheetViews>
    <sheetView topLeftCell="A40" zoomScale="70" zoomScaleNormal="70" workbookViewId="0">
      <selection activeCell="A63" sqref="A63:XFD63"/>
    </sheetView>
  </sheetViews>
  <sheetFormatPr baseColWidth="10" defaultRowHeight="14.25"/>
  <cols>
    <col min="1" max="1" width="4.85546875" style="1" customWidth="1"/>
    <col min="2" max="2" width="48.7109375" style="1" customWidth="1"/>
    <col min="3" max="3" width="29.42578125" style="1" customWidth="1"/>
    <col min="4" max="4" width="23.140625" style="6" customWidth="1"/>
    <col min="5" max="7" width="15.28515625" style="4" customWidth="1"/>
    <col min="8" max="8" width="22" style="1" customWidth="1"/>
    <col min="9" max="9" width="16.7109375" style="1" hidden="1" customWidth="1"/>
    <col min="10" max="10" width="18.5703125" style="1" hidden="1" customWidth="1"/>
    <col min="11" max="11" width="19.7109375" style="1" hidden="1" customWidth="1"/>
    <col min="12" max="12" width="17.7109375" style="207" hidden="1" customWidth="1"/>
    <col min="13" max="13" width="15.7109375" style="207" hidden="1" customWidth="1"/>
    <col min="14" max="14" width="19" style="207" hidden="1" customWidth="1"/>
    <col min="15" max="15" width="18.42578125" style="207" hidden="1" customWidth="1"/>
    <col min="16" max="16" width="16.85546875" style="207" hidden="1" customWidth="1"/>
    <col min="17" max="18" width="20" style="207" hidden="1" customWidth="1"/>
    <col min="19" max="19" width="19.140625" style="207" customWidth="1"/>
    <col min="20" max="20" width="18.28515625" style="207" customWidth="1"/>
    <col min="21" max="21" width="16.85546875" style="207" hidden="1" customWidth="1"/>
    <col min="22" max="22" width="16.28515625" style="207" hidden="1" customWidth="1"/>
    <col min="23" max="24" width="17.28515625" style="207" hidden="1" customWidth="1"/>
    <col min="25" max="25" width="17.7109375" style="207" hidden="1" customWidth="1"/>
    <col min="26" max="26" width="16.28515625" style="207" hidden="1" customWidth="1"/>
    <col min="27" max="27" width="16.85546875" style="207" hidden="1" customWidth="1"/>
    <col min="28" max="28" width="17.7109375" style="207" hidden="1" customWidth="1"/>
    <col min="29" max="29" width="20.85546875" style="207" hidden="1" customWidth="1"/>
    <col min="30" max="30" width="16.85546875" style="207" hidden="1" customWidth="1"/>
    <col min="31" max="31" width="19.140625" style="207" customWidth="1"/>
    <col min="32" max="32" width="18.28515625" style="207" customWidth="1"/>
    <col min="33" max="33" width="22.7109375" style="1" customWidth="1"/>
    <col min="34" max="34" width="20.42578125" style="1" customWidth="1"/>
    <col min="35" max="35" width="14.7109375" style="1" customWidth="1"/>
    <col min="36" max="36" width="11.42578125" style="1" customWidth="1"/>
    <col min="37" max="40" width="11.42578125" style="1" hidden="1" customWidth="1"/>
    <col min="41" max="41" width="13.5703125" style="1" hidden="1" customWidth="1"/>
    <col min="42" max="42" width="11.42578125" style="1" hidden="1" customWidth="1"/>
    <col min="43" max="43" width="15.42578125" style="1" hidden="1" customWidth="1"/>
    <col min="44" max="44" width="14" style="1" hidden="1" customWidth="1"/>
    <col min="45" max="45" width="17.7109375" style="1" hidden="1" customWidth="1"/>
    <col min="46" max="46" width="15.140625" style="1" hidden="1" customWidth="1"/>
    <col min="47" max="47" width="17.7109375" style="1" bestFit="1" customWidth="1"/>
    <col min="48" max="48" width="16.42578125" style="1" bestFit="1" customWidth="1"/>
    <col min="49" max="49" width="17" style="1" bestFit="1" customWidth="1"/>
    <col min="50" max="50" width="21" style="1" customWidth="1"/>
    <col min="51" max="51" width="16.7109375" style="1" bestFit="1" customWidth="1"/>
    <col min="52" max="52" width="15.28515625" style="1" bestFit="1" customWidth="1"/>
    <col min="53" max="53" width="17.42578125" style="1" bestFit="1" customWidth="1"/>
    <col min="54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57</v>
      </c>
    </row>
    <row r="11" spans="1:34">
      <c r="B11" s="3" t="s">
        <v>58</v>
      </c>
    </row>
    <row r="12" spans="1:34">
      <c r="B12" s="3" t="s">
        <v>70</v>
      </c>
    </row>
    <row r="13" spans="1:34" ht="15" thickBot="1">
      <c r="M13" s="207">
        <v>0</v>
      </c>
    </row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0" t="s">
        <v>38</v>
      </c>
      <c r="I14" s="711"/>
      <c r="J14" s="711"/>
      <c r="K14" s="711"/>
      <c r="L14" s="711"/>
      <c r="M14" s="711"/>
      <c r="N14" s="747"/>
      <c r="O14" s="713"/>
      <c r="P14" s="713"/>
      <c r="Q14" s="713"/>
      <c r="R14" s="713"/>
      <c r="S14" s="713"/>
      <c r="T14" s="714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30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79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144335814*12</f>
        <v>1732029768</v>
      </c>
      <c r="E16" s="22"/>
      <c r="F16" s="23"/>
      <c r="G16" s="24"/>
      <c r="H16" s="318">
        <f>SUM(I16:T16)</f>
        <v>1732029768</v>
      </c>
      <c r="I16" s="153">
        <v>144335814</v>
      </c>
      <c r="J16" s="65">
        <v>144335814</v>
      </c>
      <c r="K16" s="65">
        <v>144335814</v>
      </c>
      <c r="L16" s="217">
        <v>144335814</v>
      </c>
      <c r="M16" s="217">
        <v>144335814</v>
      </c>
      <c r="N16" s="217">
        <v>144335814</v>
      </c>
      <c r="O16" s="212">
        <v>144335814</v>
      </c>
      <c r="P16" s="212">
        <v>144335814</v>
      </c>
      <c r="Q16" s="212">
        <v>144335814</v>
      </c>
      <c r="R16" s="212">
        <v>144335814</v>
      </c>
      <c r="S16" s="212">
        <v>144335814</v>
      </c>
      <c r="T16" s="248">
        <v>144335814</v>
      </c>
      <c r="U16" s="234">
        <v>144335814</v>
      </c>
      <c r="V16" s="217">
        <v>144335814</v>
      </c>
      <c r="W16" s="217">
        <v>144335814</v>
      </c>
      <c r="X16" s="217">
        <v>144335814</v>
      </c>
      <c r="Y16" s="209">
        <v>144335814</v>
      </c>
      <c r="Z16" s="217">
        <v>144335814</v>
      </c>
      <c r="AA16" s="209">
        <v>144335814</v>
      </c>
      <c r="AB16" s="209">
        <v>144335814</v>
      </c>
      <c r="AC16" s="209">
        <v>144335814</v>
      </c>
      <c r="AD16" s="209">
        <v>144335814</v>
      </c>
      <c r="AE16" s="209">
        <v>144335814</v>
      </c>
      <c r="AF16" s="225">
        <v>144335814</v>
      </c>
      <c r="AG16" s="36">
        <f>SUM(U16:AF16)</f>
        <v>1732029768</v>
      </c>
      <c r="AH16" s="123">
        <f t="shared" ref="AH16:AH30" si="0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>
        <f>4460549*12</f>
        <v>53526588</v>
      </c>
      <c r="E17" s="15"/>
      <c r="F17" s="14"/>
      <c r="G17" s="16"/>
      <c r="H17" s="319">
        <f>SUM(I17:T17)</f>
        <v>53526588</v>
      </c>
      <c r="I17" s="154">
        <v>4460549</v>
      </c>
      <c r="J17" s="65">
        <v>4460549</v>
      </c>
      <c r="K17" s="65">
        <v>4460549</v>
      </c>
      <c r="L17" s="217">
        <v>4460549</v>
      </c>
      <c r="M17" s="217">
        <v>4460549</v>
      </c>
      <c r="N17" s="217">
        <v>4460549</v>
      </c>
      <c r="O17" s="206">
        <v>4460549</v>
      </c>
      <c r="P17" s="206">
        <v>4460549</v>
      </c>
      <c r="Q17" s="206">
        <v>4460549</v>
      </c>
      <c r="R17" s="206">
        <v>4460549</v>
      </c>
      <c r="S17" s="206">
        <v>4460549</v>
      </c>
      <c r="T17" s="227">
        <v>4460549</v>
      </c>
      <c r="U17" s="235">
        <v>4460549</v>
      </c>
      <c r="V17" s="217">
        <v>4460549</v>
      </c>
      <c r="W17" s="217">
        <v>4460549</v>
      </c>
      <c r="X17" s="217">
        <v>4460549</v>
      </c>
      <c r="Y17" s="206">
        <v>4460549</v>
      </c>
      <c r="Z17" s="217">
        <v>4460549</v>
      </c>
      <c r="AA17" s="206">
        <v>4460549</v>
      </c>
      <c r="AB17" s="206">
        <v>4460549</v>
      </c>
      <c r="AC17" s="206">
        <v>4460549</v>
      </c>
      <c r="AD17" s="206">
        <v>4460549</v>
      </c>
      <c r="AE17" s="206">
        <v>4460549</v>
      </c>
      <c r="AF17" s="227">
        <v>4460549</v>
      </c>
      <c r="AG17" s="37">
        <f t="shared" ref="AG17:AG28" si="1">SUM(U17:AF17)</f>
        <v>53526588</v>
      </c>
      <c r="AH17" s="124">
        <f t="shared" si="0"/>
        <v>0</v>
      </c>
    </row>
    <row r="18" spans="1:48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65">
        <v>0</v>
      </c>
      <c r="K18" s="9"/>
      <c r="L18" s="217">
        <v>0</v>
      </c>
      <c r="M18" s="217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>
        <v>0</v>
      </c>
      <c r="U18" s="235"/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>
        <v>0</v>
      </c>
      <c r="AG18" s="37">
        <f t="shared" si="1"/>
        <v>0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-73532*12</f>
        <v>-882384</v>
      </c>
      <c r="E19" s="15"/>
      <c r="F19" s="14"/>
      <c r="G19" s="16"/>
      <c r="H19" s="319">
        <f t="shared" si="2"/>
        <v>-1522866</v>
      </c>
      <c r="I19" s="154">
        <v>-73532</v>
      </c>
      <c r="J19" s="65">
        <v>-73532</v>
      </c>
      <c r="K19" s="65">
        <v>-73532</v>
      </c>
      <c r="L19" s="217">
        <v>-73532</v>
      </c>
      <c r="M19" s="217">
        <v>-73532</v>
      </c>
      <c r="N19" s="217">
        <v>-73532</v>
      </c>
      <c r="O19" s="206">
        <v>-73532</v>
      </c>
      <c r="P19" s="206">
        <v>-73532</v>
      </c>
      <c r="Q19" s="206">
        <v>-73532</v>
      </c>
      <c r="R19" s="206">
        <v>-287026</v>
      </c>
      <c r="S19" s="206">
        <v>-287026</v>
      </c>
      <c r="T19" s="227">
        <v>-287026</v>
      </c>
      <c r="U19" s="235">
        <v>-73532</v>
      </c>
      <c r="V19" s="217">
        <v>-73532</v>
      </c>
      <c r="W19" s="217">
        <v>-73532</v>
      </c>
      <c r="X19" s="217">
        <v>-73532</v>
      </c>
      <c r="Y19" s="206">
        <v>-73532</v>
      </c>
      <c r="Z19" s="217">
        <v>-73532</v>
      </c>
      <c r="AA19" s="206">
        <v>-73532</v>
      </c>
      <c r="AB19" s="206">
        <v>-73532</v>
      </c>
      <c r="AC19" s="206">
        <v>-73532</v>
      </c>
      <c r="AD19" s="206">
        <v>-287026</v>
      </c>
      <c r="AE19" s="206">
        <v>-287026</v>
      </c>
      <c r="AF19" s="227">
        <v>-287026</v>
      </c>
      <c r="AG19" s="37">
        <f t="shared" si="1"/>
        <v>-1522866</v>
      </c>
      <c r="AH19" s="124">
        <f t="shared" si="0"/>
        <v>0</v>
      </c>
    </row>
    <row r="20" spans="1:48" ht="29.25">
      <c r="A20" s="11">
        <v>5</v>
      </c>
      <c r="B20" s="10" t="s">
        <v>31</v>
      </c>
      <c r="C20" s="147" t="s">
        <v>29</v>
      </c>
      <c r="D20" s="13">
        <f>1479735*12</f>
        <v>17756820</v>
      </c>
      <c r="E20" s="15"/>
      <c r="F20" s="14"/>
      <c r="G20" s="16"/>
      <c r="H20" s="319">
        <f t="shared" si="2"/>
        <v>17756820.068</v>
      </c>
      <c r="I20" s="154">
        <v>1479735</v>
      </c>
      <c r="J20" s="65">
        <v>1479735</v>
      </c>
      <c r="K20" s="65">
        <v>1479735</v>
      </c>
      <c r="L20" s="217">
        <v>1479735</v>
      </c>
      <c r="M20" s="65">
        <v>1479735</v>
      </c>
      <c r="N20" s="65">
        <v>1479735</v>
      </c>
      <c r="O20" s="206">
        <v>1479735</v>
      </c>
      <c r="P20" s="206">
        <v>1479735</v>
      </c>
      <c r="Q20" s="206">
        <v>1479735</v>
      </c>
      <c r="R20" s="206">
        <v>1479735</v>
      </c>
      <c r="S20" s="206">
        <v>1479735</v>
      </c>
      <c r="T20" s="227">
        <v>1479735.0680000002</v>
      </c>
      <c r="U20" s="235">
        <v>1479735</v>
      </c>
      <c r="V20" s="217">
        <v>1479735</v>
      </c>
      <c r="W20" s="217">
        <v>1479735</v>
      </c>
      <c r="X20" s="206"/>
      <c r="Y20" s="206"/>
      <c r="Z20" s="65">
        <v>0</v>
      </c>
      <c r="AA20" s="206"/>
      <c r="AB20" s="206"/>
      <c r="AC20" s="206"/>
      <c r="AD20" s="206"/>
      <c r="AE20" s="206"/>
      <c r="AF20" s="227"/>
      <c r="AG20" s="37">
        <f t="shared" si="1"/>
        <v>4439205</v>
      </c>
      <c r="AH20" s="124">
        <f t="shared" si="0"/>
        <v>13317615.068</v>
      </c>
    </row>
    <row r="21" spans="1:48" ht="15">
      <c r="A21" s="11">
        <v>6</v>
      </c>
      <c r="B21" s="7" t="s">
        <v>32</v>
      </c>
      <c r="C21" s="147" t="s">
        <v>29</v>
      </c>
      <c r="D21" s="13">
        <f>470404*12</f>
        <v>5644848</v>
      </c>
      <c r="E21" s="15"/>
      <c r="F21" s="14"/>
      <c r="G21" s="16"/>
      <c r="H21" s="319">
        <f t="shared" si="2"/>
        <v>6571136.5</v>
      </c>
      <c r="I21" s="154">
        <v>470404</v>
      </c>
      <c r="J21" s="65">
        <v>553520</v>
      </c>
      <c r="K21" s="65">
        <v>538483.50000000012</v>
      </c>
      <c r="L21" s="217">
        <v>533974</v>
      </c>
      <c r="M21" s="65">
        <v>552014</v>
      </c>
      <c r="N21" s="65">
        <v>561036</v>
      </c>
      <c r="O21" s="206">
        <v>561036</v>
      </c>
      <c r="P21" s="206">
        <v>561036</v>
      </c>
      <c r="Q21" s="206">
        <v>561036</v>
      </c>
      <c r="R21" s="206">
        <v>561036</v>
      </c>
      <c r="S21" s="206">
        <v>561036</v>
      </c>
      <c r="T21" s="227">
        <v>556525</v>
      </c>
      <c r="U21" s="235">
        <v>470404</v>
      </c>
      <c r="V21" s="217">
        <v>553520</v>
      </c>
      <c r="W21" s="217">
        <v>538484</v>
      </c>
      <c r="X21" s="65">
        <v>533974</v>
      </c>
      <c r="Y21" s="206">
        <v>552014</v>
      </c>
      <c r="Z21" s="65">
        <v>561036</v>
      </c>
      <c r="AA21" s="206">
        <v>561036</v>
      </c>
      <c r="AB21" s="206">
        <v>561036</v>
      </c>
      <c r="AC21" s="206">
        <v>561036</v>
      </c>
      <c r="AD21" s="206">
        <v>561036</v>
      </c>
      <c r="AE21" s="206">
        <v>561036</v>
      </c>
      <c r="AF21" s="227">
        <v>556525</v>
      </c>
      <c r="AG21" s="37">
        <f t="shared" si="1"/>
        <v>6571137</v>
      </c>
      <c r="AH21" s="124">
        <f t="shared" si="0"/>
        <v>-0.5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70504858</v>
      </c>
      <c r="I22" s="154"/>
      <c r="J22" s="65"/>
      <c r="K22" s="65"/>
      <c r="L22" s="217">
        <v>18124669</v>
      </c>
      <c r="M22" s="65"/>
      <c r="N22" s="65">
        <v>17693846</v>
      </c>
      <c r="O22" s="206"/>
      <c r="P22" s="206"/>
      <c r="Q22" s="206">
        <v>17748806</v>
      </c>
      <c r="R22" s="206"/>
      <c r="S22" s="206"/>
      <c r="T22" s="227">
        <v>16937537</v>
      </c>
      <c r="U22" s="235"/>
      <c r="V22" s="217"/>
      <c r="W22" s="217"/>
      <c r="X22" s="65">
        <v>18124669</v>
      </c>
      <c r="Y22" s="206"/>
      <c r="Z22" s="65">
        <v>17693846</v>
      </c>
      <c r="AA22" s="206"/>
      <c r="AB22" s="206"/>
      <c r="AC22" s="206">
        <v>17748806</v>
      </c>
      <c r="AD22" s="206"/>
      <c r="AE22" s="206"/>
      <c r="AF22" s="227">
        <v>16937537</v>
      </c>
      <c r="AG22" s="37">
        <f>SUM(U22:AF22)</f>
        <v>70504858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81457060</v>
      </c>
      <c r="I23" s="154"/>
      <c r="J23" s="65"/>
      <c r="K23" s="65"/>
      <c r="L23" s="217">
        <v>20940150</v>
      </c>
      <c r="M23" s="65"/>
      <c r="N23" s="65">
        <v>20442401</v>
      </c>
      <c r="O23" s="206"/>
      <c r="P23" s="206"/>
      <c r="Q23" s="206">
        <v>20505900</v>
      </c>
      <c r="R23" s="206"/>
      <c r="S23" s="206"/>
      <c r="T23" s="227">
        <v>19568609</v>
      </c>
      <c r="U23" s="235"/>
      <c r="V23" s="217"/>
      <c r="W23" s="217"/>
      <c r="X23" s="65">
        <v>20940150</v>
      </c>
      <c r="Y23" s="206"/>
      <c r="Z23" s="65">
        <v>20442401</v>
      </c>
      <c r="AA23" s="206"/>
      <c r="AB23" s="206"/>
      <c r="AC23" s="206">
        <v>20505900</v>
      </c>
      <c r="AD23" s="206"/>
      <c r="AE23" s="206"/>
      <c r="AF23" s="227">
        <v>19568609</v>
      </c>
      <c r="AG23" s="37">
        <f>SUM(U23:AF23)</f>
        <v>81457060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478887*12</f>
        <v>5746644</v>
      </c>
      <c r="E24" s="15"/>
      <c r="F24" s="14"/>
      <c r="G24" s="16"/>
      <c r="H24" s="319">
        <f t="shared" si="2"/>
        <v>5746644</v>
      </c>
      <c r="I24" s="154">
        <v>478887</v>
      </c>
      <c r="J24" s="65">
        <v>478887</v>
      </c>
      <c r="K24" s="65">
        <v>478887</v>
      </c>
      <c r="L24" s="217">
        <v>478887</v>
      </c>
      <c r="M24" s="65">
        <v>478887</v>
      </c>
      <c r="N24" s="65">
        <v>478887</v>
      </c>
      <c r="O24" s="206">
        <v>478887</v>
      </c>
      <c r="P24" s="206">
        <v>478887</v>
      </c>
      <c r="Q24" s="206">
        <v>478887</v>
      </c>
      <c r="R24" s="206">
        <v>478887</v>
      </c>
      <c r="S24" s="206">
        <v>478887</v>
      </c>
      <c r="T24" s="227">
        <v>478887</v>
      </c>
      <c r="U24" s="235">
        <v>478887</v>
      </c>
      <c r="V24" s="217">
        <v>478887</v>
      </c>
      <c r="W24" s="217">
        <v>478887</v>
      </c>
      <c r="X24" s="65">
        <v>478887</v>
      </c>
      <c r="Y24" s="206">
        <v>478887</v>
      </c>
      <c r="Z24" s="65">
        <v>478887</v>
      </c>
      <c r="AA24" s="206">
        <v>478887</v>
      </c>
      <c r="AB24" s="206">
        <v>478887</v>
      </c>
      <c r="AC24" s="206">
        <v>478887</v>
      </c>
      <c r="AD24" s="206">
        <v>478887</v>
      </c>
      <c r="AE24" s="206">
        <v>478887</v>
      </c>
      <c r="AF24" s="227">
        <v>478887</v>
      </c>
      <c r="AG24" s="37">
        <f t="shared" si="1"/>
        <v>5746644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>
        <f>617163*12</f>
        <v>7405956</v>
      </c>
      <c r="E25" s="15"/>
      <c r="F25" s="14"/>
      <c r="G25" s="16"/>
      <c r="H25" s="319">
        <f t="shared" si="2"/>
        <v>7405955.6629799996</v>
      </c>
      <c r="I25" s="154">
        <v>617163</v>
      </c>
      <c r="J25" s="65">
        <v>617163</v>
      </c>
      <c r="K25" s="65">
        <v>617162.66297999991</v>
      </c>
      <c r="L25" s="217">
        <v>617163</v>
      </c>
      <c r="M25" s="65">
        <v>617163</v>
      </c>
      <c r="N25" s="65">
        <v>617163</v>
      </c>
      <c r="O25" s="206">
        <v>617163</v>
      </c>
      <c r="P25" s="206">
        <v>617163</v>
      </c>
      <c r="Q25" s="206">
        <v>617163</v>
      </c>
      <c r="R25" s="206">
        <v>617163</v>
      </c>
      <c r="S25" s="206">
        <v>617163</v>
      </c>
      <c r="T25" s="227">
        <v>617163</v>
      </c>
      <c r="U25" s="235">
        <v>617163</v>
      </c>
      <c r="V25" s="217">
        <v>617163</v>
      </c>
      <c r="W25" s="217">
        <v>617163</v>
      </c>
      <c r="X25" s="65">
        <v>617163</v>
      </c>
      <c r="Y25" s="206">
        <v>617163</v>
      </c>
      <c r="Z25" s="65">
        <v>617163</v>
      </c>
      <c r="AA25" s="206">
        <v>617163</v>
      </c>
      <c r="AB25" s="206">
        <v>617163</v>
      </c>
      <c r="AC25" s="206">
        <v>617163</v>
      </c>
      <c r="AD25" s="206">
        <v>617163</v>
      </c>
      <c r="AE25" s="206">
        <v>617163</v>
      </c>
      <c r="AF25" s="227">
        <v>617163</v>
      </c>
      <c r="AG25" s="37">
        <f t="shared" si="1"/>
        <v>7405956</v>
      </c>
      <c r="AH25" s="124">
        <f t="shared" si="0"/>
        <v>-0.33702000044286251</v>
      </c>
    </row>
    <row r="26" spans="1:48" ht="15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9">
        <f t="shared" si="2"/>
        <v>0</v>
      </c>
      <c r="I26" s="154"/>
      <c r="J26" s="65"/>
      <c r="K26" s="65"/>
      <c r="L26" s="217"/>
      <c r="M26" s="65"/>
      <c r="N26" s="65"/>
      <c r="O26" s="206"/>
      <c r="P26" s="206"/>
      <c r="Q26" s="206"/>
      <c r="R26" s="206"/>
      <c r="S26" s="206"/>
      <c r="T26" s="227"/>
      <c r="U26" s="235"/>
      <c r="V26" s="217"/>
      <c r="W26" s="217"/>
      <c r="X26" s="65"/>
      <c r="Y26" s="206"/>
      <c r="Z26" s="65"/>
      <c r="AA26" s="206"/>
      <c r="AB26" s="206"/>
      <c r="AC26" s="206"/>
      <c r="AD26" s="206"/>
      <c r="AE26" s="206"/>
      <c r="AF26" s="227"/>
      <c r="AG26" s="37">
        <f t="shared" si="1"/>
        <v>0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15371565</v>
      </c>
      <c r="I27" s="154"/>
      <c r="J27" s="65"/>
      <c r="K27" s="65"/>
      <c r="L27" s="217"/>
      <c r="M27" s="65"/>
      <c r="N27" s="65"/>
      <c r="O27" s="206"/>
      <c r="P27" s="206">
        <v>15371565</v>
      </c>
      <c r="Q27" s="206"/>
      <c r="R27" s="206"/>
      <c r="S27" s="206"/>
      <c r="T27" s="227"/>
      <c r="U27" s="235"/>
      <c r="V27" s="217"/>
      <c r="W27" s="217"/>
      <c r="X27" s="65"/>
      <c r="Y27" s="206"/>
      <c r="Z27" s="65"/>
      <c r="AA27" s="206"/>
      <c r="AB27" s="206">
        <v>15371565</v>
      </c>
      <c r="AC27" s="206"/>
      <c r="AD27" s="206"/>
      <c r="AE27" s="206"/>
      <c r="AF27" s="227"/>
      <c r="AG27" s="37">
        <f t="shared" si="1"/>
        <v>15371565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14672858</v>
      </c>
      <c r="I28" s="154"/>
      <c r="J28" s="65"/>
      <c r="K28" s="65"/>
      <c r="L28" s="217"/>
      <c r="M28" s="65"/>
      <c r="N28" s="65"/>
      <c r="O28" s="206"/>
      <c r="P28" s="206">
        <v>14672858</v>
      </c>
      <c r="Q28" s="206"/>
      <c r="R28" s="206"/>
      <c r="S28" s="206"/>
      <c r="T28" s="227"/>
      <c r="U28" s="235"/>
      <c r="V28" s="217"/>
      <c r="W28" s="217"/>
      <c r="X28" s="65"/>
      <c r="Y28" s="206"/>
      <c r="Z28" s="65"/>
      <c r="AA28" s="206"/>
      <c r="AB28" s="206">
        <v>14672858</v>
      </c>
      <c r="AC28" s="206"/>
      <c r="AD28" s="206"/>
      <c r="AE28" s="206"/>
      <c r="AF28" s="227"/>
      <c r="AG28" s="37">
        <f t="shared" si="1"/>
        <v>14672858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19">
        <f t="shared" si="2"/>
        <v>15462303.14425992</v>
      </c>
      <c r="I29" s="154"/>
      <c r="J29" s="65"/>
      <c r="K29" s="65"/>
      <c r="L29" s="217"/>
      <c r="M29" s="65"/>
      <c r="N29" s="65"/>
      <c r="O29" s="206"/>
      <c r="P29" s="206"/>
      <c r="Q29" s="206"/>
      <c r="R29" s="206"/>
      <c r="S29" s="206">
        <v>15462303.14425992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206"/>
      <c r="AD29" s="206"/>
      <c r="AE29" s="206">
        <v>15462303.14425992</v>
      </c>
      <c r="AF29" s="227"/>
      <c r="AG29" s="37">
        <f>SUM(U29:AF29)</f>
        <v>15462303.14425992</v>
      </c>
      <c r="AH29" s="124">
        <f>+H29-AG29</f>
        <v>0</v>
      </c>
    </row>
    <row r="30" spans="1:48" ht="15.75" thickBot="1">
      <c r="A30" s="794" t="s">
        <v>36</v>
      </c>
      <c r="B30" s="795"/>
      <c r="C30" s="94"/>
      <c r="D30" s="95">
        <f>SUM(D16:D26)</f>
        <v>1821228240</v>
      </c>
      <c r="E30" s="96"/>
      <c r="F30" s="97"/>
      <c r="G30" s="98"/>
      <c r="H30" s="325">
        <f>SUM(H16:H28)</f>
        <v>2003520387.2309802</v>
      </c>
      <c r="I30" s="314">
        <f>SUM(I16:I28)</f>
        <v>151769020</v>
      </c>
      <c r="J30" s="314">
        <f t="shared" ref="J30:O30" si="3">SUM(J16:J28)</f>
        <v>151852136</v>
      </c>
      <c r="K30" s="314">
        <f t="shared" si="3"/>
        <v>151837099.16297999</v>
      </c>
      <c r="L30" s="314">
        <f t="shared" si="3"/>
        <v>190897409</v>
      </c>
      <c r="M30" s="314">
        <f t="shared" si="3"/>
        <v>151850630</v>
      </c>
      <c r="N30" s="314">
        <f t="shared" si="3"/>
        <v>189995899</v>
      </c>
      <c r="O30" s="314">
        <f t="shared" si="3"/>
        <v>151859652</v>
      </c>
      <c r="P30" s="313">
        <f t="shared" ref="P30:AF30" si="4">SUM(P16:P28)</f>
        <v>181904075</v>
      </c>
      <c r="Q30" s="314">
        <f t="shared" si="4"/>
        <v>190114358</v>
      </c>
      <c r="R30" s="314">
        <f t="shared" si="4"/>
        <v>151646158</v>
      </c>
      <c r="S30" s="314">
        <f t="shared" si="4"/>
        <v>151646158</v>
      </c>
      <c r="T30" s="314">
        <f t="shared" si="4"/>
        <v>188147793.06799999</v>
      </c>
      <c r="U30" s="245">
        <f t="shared" si="4"/>
        <v>151769020</v>
      </c>
      <c r="V30" s="245">
        <f t="shared" si="4"/>
        <v>151852136</v>
      </c>
      <c r="W30" s="245">
        <f t="shared" si="4"/>
        <v>151837100</v>
      </c>
      <c r="X30" s="245">
        <f t="shared" si="4"/>
        <v>189417674</v>
      </c>
      <c r="Y30" s="245">
        <f t="shared" si="4"/>
        <v>150370895</v>
      </c>
      <c r="Z30" s="245">
        <f t="shared" si="4"/>
        <v>188516164</v>
      </c>
      <c r="AA30" s="245">
        <f t="shared" si="4"/>
        <v>150379917</v>
      </c>
      <c r="AB30" s="245">
        <f t="shared" si="4"/>
        <v>180424340</v>
      </c>
      <c r="AC30" s="245">
        <f t="shared" si="4"/>
        <v>188634623</v>
      </c>
      <c r="AD30" s="245">
        <f t="shared" si="4"/>
        <v>150166423</v>
      </c>
      <c r="AE30" s="245">
        <f t="shared" si="4"/>
        <v>150166423</v>
      </c>
      <c r="AF30" s="245">
        <f t="shared" si="4"/>
        <v>186668058</v>
      </c>
      <c r="AG30" s="338">
        <f>SUM(U30:AF30)</f>
        <v>1990202773</v>
      </c>
      <c r="AH30" s="120">
        <f t="shared" si="0"/>
        <v>13317614.230980158</v>
      </c>
    </row>
    <row r="31" spans="1:48" ht="15" thickBot="1">
      <c r="D31" s="265">
        <v>8054933</v>
      </c>
      <c r="E31" s="5">
        <v>0.7</v>
      </c>
      <c r="F31" s="5">
        <v>0.3</v>
      </c>
      <c r="G31" s="5">
        <v>8.3333333333333329E-2</v>
      </c>
      <c r="H31" s="149">
        <v>1</v>
      </c>
      <c r="L31" s="149">
        <f>+H31/3</f>
        <v>0.33333333333333331</v>
      </c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0" t="s">
        <v>38</v>
      </c>
      <c r="I32" s="711"/>
      <c r="J32" s="711"/>
      <c r="K32" s="711"/>
      <c r="L32" s="711"/>
      <c r="M32" s="711"/>
      <c r="N32" s="712"/>
      <c r="O32" s="713"/>
      <c r="P32" s="713"/>
      <c r="Q32" s="713"/>
      <c r="R32" s="713"/>
      <c r="S32" s="713"/>
      <c r="T32" s="714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4" ht="30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74" t="s">
        <v>13</v>
      </c>
      <c r="K33" s="74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79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3" t="s">
        <v>178</v>
      </c>
      <c r="AX33" s="167" t="s">
        <v>179</v>
      </c>
      <c r="AY33" s="212">
        <v>120000</v>
      </c>
      <c r="AZ33" s="207">
        <v>6907841</v>
      </c>
    </row>
    <row r="34" spans="1:54" ht="15.75" thickBot="1">
      <c r="A34" s="573">
        <v>1</v>
      </c>
      <c r="B34" s="608" t="s">
        <v>99</v>
      </c>
      <c r="C34" s="615">
        <v>1390</v>
      </c>
      <c r="D34" s="610">
        <v>221718</v>
      </c>
      <c r="E34" s="611">
        <f>+D34*E31</f>
        <v>155202.59999999998</v>
      </c>
      <c r="F34" s="612">
        <f>+D34*F31</f>
        <v>66515.399999999994</v>
      </c>
      <c r="G34" s="613"/>
      <c r="H34" s="327">
        <f>SUM(I34:T34)</f>
        <v>221717.99999999997</v>
      </c>
      <c r="I34" s="268"/>
      <c r="J34" s="156"/>
      <c r="K34" s="153">
        <v>155202.59999999998</v>
      </c>
      <c r="L34" s="212"/>
      <c r="M34" s="212"/>
      <c r="N34" s="212"/>
      <c r="O34" s="212"/>
      <c r="P34" s="212"/>
      <c r="Q34" s="212"/>
      <c r="R34" s="212">
        <v>66515.399999999994</v>
      </c>
      <c r="S34" s="212"/>
      <c r="T34" s="248"/>
      <c r="U34" s="234"/>
      <c r="V34" s="220"/>
      <c r="W34" s="209">
        <v>155202.59999999998</v>
      </c>
      <c r="X34" s="209"/>
      <c r="Y34" s="209"/>
      <c r="Z34" s="209"/>
      <c r="AA34" s="209"/>
      <c r="AB34" s="209"/>
      <c r="AC34" s="209"/>
      <c r="AD34" s="209"/>
      <c r="AE34" s="209">
        <v>66515.399999999994</v>
      </c>
      <c r="AF34" s="209"/>
      <c r="AG34" s="40">
        <f>SUM(U34:AF34)</f>
        <v>221717.99999999997</v>
      </c>
      <c r="AH34" s="123">
        <f t="shared" ref="AH34:AH82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>
        <v>225966.61692279091</v>
      </c>
      <c r="AU34" s="209">
        <v>3925.3934812244006</v>
      </c>
      <c r="AV34" s="225"/>
      <c r="AW34" s="36">
        <f>SUM(AK34:AV34)</f>
        <v>229892.01040401531</v>
      </c>
      <c r="AX34" s="123">
        <f>+AG34-AW34</f>
        <v>-8174.0104040153383</v>
      </c>
      <c r="AY34" s="170">
        <f>+AX34+AX35</f>
        <v>-249881.00000000131</v>
      </c>
      <c r="AZ34" s="149">
        <v>1</v>
      </c>
    </row>
    <row r="35" spans="1:54" ht="15">
      <c r="A35" s="573">
        <v>2</v>
      </c>
      <c r="B35" s="608" t="s">
        <v>100</v>
      </c>
      <c r="C35" s="615">
        <v>1390</v>
      </c>
      <c r="D35" s="610">
        <v>6556242</v>
      </c>
      <c r="E35" s="583">
        <f>+D35*E31</f>
        <v>4589369.3999999994</v>
      </c>
      <c r="F35" s="584">
        <f>+D35*F31</f>
        <v>1966872.5999999999</v>
      </c>
      <c r="G35" s="614"/>
      <c r="H35" s="319">
        <f>SUM(I35:T35)</f>
        <v>6556241.9999999991</v>
      </c>
      <c r="I35" s="153"/>
      <c r="J35" s="157"/>
      <c r="K35" s="153">
        <v>4589369.3999999994</v>
      </c>
      <c r="L35" s="212"/>
      <c r="M35" s="212"/>
      <c r="N35" s="212"/>
      <c r="O35" s="212"/>
      <c r="P35" s="212"/>
      <c r="Q35" s="212"/>
      <c r="R35" s="212">
        <v>1966872.5999999999</v>
      </c>
      <c r="S35" s="212"/>
      <c r="T35" s="248"/>
      <c r="U35" s="237"/>
      <c r="V35" s="217"/>
      <c r="W35" s="212">
        <v>4589369.3999999994</v>
      </c>
      <c r="X35" s="212"/>
      <c r="Y35" s="212"/>
      <c r="Z35" s="212"/>
      <c r="AA35" s="212"/>
      <c r="AB35" s="212"/>
      <c r="AC35" s="212"/>
      <c r="AD35" s="212"/>
      <c r="AE35" s="212">
        <v>1966872.5999999999</v>
      </c>
      <c r="AF35" s="212"/>
      <c r="AG35" s="40">
        <f>SUM(U35:AF35)</f>
        <v>6556241.9999999991</v>
      </c>
      <c r="AH35" s="123">
        <f t="shared" si="5"/>
        <v>0</v>
      </c>
      <c r="AI35" s="170">
        <f>+AH34+AH35</f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>
        <v>6681874.3830772098</v>
      </c>
      <c r="AU35" s="212">
        <v>116074.6065187756</v>
      </c>
      <c r="AV35" s="248"/>
      <c r="AW35" s="36">
        <f>SUM(AK35:AV35)</f>
        <v>6797948.989595985</v>
      </c>
      <c r="AX35" s="431">
        <f t="shared" ref="AX35:AX77" si="6">+AG35-AW35</f>
        <v>-241706.98959598597</v>
      </c>
      <c r="AZ35" s="149">
        <f>+(AX34*AZ34)/AY34</f>
        <v>3.2711612343536707E-2</v>
      </c>
      <c r="BA35" s="207">
        <f>+AY33*AZ35</f>
        <v>3925.3934812244047</v>
      </c>
      <c r="BB35" s="207">
        <f>+AZ33*AZ35</f>
        <v>225966.61692278896</v>
      </c>
    </row>
    <row r="36" spans="1:54" ht="15">
      <c r="A36" s="18">
        <v>3</v>
      </c>
      <c r="B36" s="7" t="s">
        <v>74</v>
      </c>
      <c r="C36" s="147"/>
      <c r="D36" s="13"/>
      <c r="E36" s="142"/>
      <c r="F36" s="143"/>
      <c r="G36" s="160"/>
      <c r="H36" s="319">
        <f t="shared" ref="H36:H82" si="7">SUM(I36:T36)</f>
        <v>0</v>
      </c>
      <c r="I36" s="154"/>
      <c r="J36" s="157"/>
      <c r="K36" s="154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34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37">
        <f>SUM(AK36:AV36)</f>
        <v>0</v>
      </c>
      <c r="AX36" s="431">
        <f t="shared" si="6"/>
        <v>0</v>
      </c>
      <c r="AZ36" s="149">
        <f>+(AX35*AZ34)/AY34</f>
        <v>0.9672883876564633</v>
      </c>
      <c r="BA36" s="207">
        <f>+AY33*AZ36</f>
        <v>116074.6065187756</v>
      </c>
      <c r="BB36" s="207">
        <f>+AZ33*AZ36</f>
        <v>6681874.3830772107</v>
      </c>
    </row>
    <row r="37" spans="1:54" ht="15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7"/>
        <v>0</v>
      </c>
      <c r="I37" s="154"/>
      <c r="J37" s="157"/>
      <c r="K37" s="154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34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37">
        <f>SUM(AK37:AV37)</f>
        <v>0</v>
      </c>
      <c r="AX37" s="431">
        <f t="shared" si="6"/>
        <v>0</v>
      </c>
    </row>
    <row r="38" spans="1:54" ht="15">
      <c r="A38" s="573">
        <v>5</v>
      </c>
      <c r="B38" s="575" t="s">
        <v>101</v>
      </c>
      <c r="C38" s="576">
        <v>2892</v>
      </c>
      <c r="D38" s="577">
        <v>13224169</v>
      </c>
      <c r="E38" s="578">
        <f>+D38*$E$31</f>
        <v>9256918.2999999989</v>
      </c>
      <c r="F38" s="579">
        <f>+D38*$F$31</f>
        <v>3967250.6999999997</v>
      </c>
      <c r="G38" s="580">
        <f>+D38-H38</f>
        <v>0</v>
      </c>
      <c r="H38" s="319">
        <f t="shared" si="7"/>
        <v>13224169</v>
      </c>
      <c r="I38" s="154"/>
      <c r="J38" s="157"/>
      <c r="K38" s="154"/>
      <c r="L38" s="206"/>
      <c r="M38" s="206">
        <v>5832658.2999999998</v>
      </c>
      <c r="N38" s="206"/>
      <c r="O38" s="212"/>
      <c r="P38" s="212"/>
      <c r="Q38" s="212"/>
      <c r="R38" s="212">
        <v>2499710.6999999997</v>
      </c>
      <c r="S38" s="212">
        <v>4891800</v>
      </c>
      <c r="T38" s="248"/>
      <c r="U38" s="235"/>
      <c r="V38" s="217"/>
      <c r="W38" s="206"/>
      <c r="X38" s="206"/>
      <c r="Y38" s="206">
        <v>5832658.2999999998</v>
      </c>
      <c r="Z38" s="206"/>
      <c r="AA38" s="206"/>
      <c r="AB38" s="206"/>
      <c r="AC38" s="206"/>
      <c r="AD38" s="206">
        <v>2499710.6999999997</v>
      </c>
      <c r="AE38" s="206">
        <v>4891800</v>
      </c>
      <c r="AF38" s="206"/>
      <c r="AG38" s="34">
        <f>SUM(U38:AF38)</f>
        <v>13224169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>
        <v>805883.90791281138</v>
      </c>
      <c r="AW38" s="37">
        <f>SUM(AK38:AV38)</f>
        <v>805883.90791281138</v>
      </c>
      <c r="AX38" s="431">
        <f t="shared" si="6"/>
        <v>12418285.092087189</v>
      </c>
      <c r="AY38" s="6">
        <v>900000</v>
      </c>
      <c r="AZ38" s="149">
        <f>+(AX38*AZ34)/AY39</f>
        <v>0.89542656434756818</v>
      </c>
      <c r="BA38" s="6">
        <f>+AY38*AZ38</f>
        <v>805883.90791281138</v>
      </c>
    </row>
    <row r="39" spans="1:54" ht="15">
      <c r="A39" s="573">
        <v>6</v>
      </c>
      <c r="B39" s="575" t="s">
        <v>102</v>
      </c>
      <c r="C39" s="576">
        <v>2892</v>
      </c>
      <c r="D39" s="577">
        <v>1544400</v>
      </c>
      <c r="E39" s="578">
        <f>+D39*$E$31</f>
        <v>1081080</v>
      </c>
      <c r="F39" s="579">
        <f>+D39*$F$31</f>
        <v>463320</v>
      </c>
      <c r="G39" s="580">
        <f>+D39-H39</f>
        <v>0</v>
      </c>
      <c r="H39" s="319">
        <f t="shared" si="7"/>
        <v>1544400</v>
      </c>
      <c r="I39" s="154"/>
      <c r="J39" s="157"/>
      <c r="K39" s="154"/>
      <c r="L39" s="206"/>
      <c r="M39" s="206">
        <v>1081080</v>
      </c>
      <c r="N39" s="206"/>
      <c r="O39" s="212"/>
      <c r="P39" s="212"/>
      <c r="Q39" s="212"/>
      <c r="R39" s="212">
        <v>463320</v>
      </c>
      <c r="S39" s="212"/>
      <c r="T39" s="248"/>
      <c r="U39" s="235"/>
      <c r="V39" s="217"/>
      <c r="W39" s="206"/>
      <c r="X39" s="206"/>
      <c r="Y39" s="206">
        <v>1081080</v>
      </c>
      <c r="Z39" s="206"/>
      <c r="AA39" s="206"/>
      <c r="AB39" s="206"/>
      <c r="AC39" s="206"/>
      <c r="AD39" s="206">
        <v>463320</v>
      </c>
      <c r="AE39" s="206"/>
      <c r="AF39" s="206"/>
      <c r="AG39" s="34">
        <f t="shared" ref="AG39:AG67" si="8">SUM(U39:AF39)</f>
        <v>1544400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>
        <v>94116.092087188677</v>
      </c>
      <c r="AW39" s="37">
        <f t="shared" ref="AW39:AW45" si="9">SUM(AK39:AV39)</f>
        <v>94116.092087188677</v>
      </c>
      <c r="AX39" s="431">
        <f t="shared" si="6"/>
        <v>1450283.9079128113</v>
      </c>
      <c r="AY39" s="170">
        <f>+AX38+AX39</f>
        <v>13868569</v>
      </c>
      <c r="AZ39" s="149">
        <f>+(AX39*AZ34)/AY39</f>
        <v>0.10457343565243186</v>
      </c>
      <c r="BA39" s="6">
        <f>+AY38*AZ39</f>
        <v>94116.092087188677</v>
      </c>
    </row>
    <row r="40" spans="1:54" ht="15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7"/>
        <v>0</v>
      </c>
      <c r="I40" s="154"/>
      <c r="J40" s="157"/>
      <c r="K40" s="154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34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37">
        <f t="shared" si="9"/>
        <v>0</v>
      </c>
      <c r="AX40" s="431">
        <f t="shared" si="6"/>
        <v>0</v>
      </c>
    </row>
    <row r="41" spans="1:54" ht="15">
      <c r="A41" s="18">
        <v>8</v>
      </c>
      <c r="B41" s="7" t="s">
        <v>76</v>
      </c>
      <c r="C41" s="147"/>
      <c r="D41" s="13"/>
      <c r="E41" s="142"/>
      <c r="F41" s="143"/>
      <c r="G41" s="160"/>
      <c r="H41" s="319">
        <f t="shared" si="7"/>
        <v>0</v>
      </c>
      <c r="I41" s="154"/>
      <c r="J41" s="157"/>
      <c r="K41" s="154"/>
      <c r="L41" s="206"/>
      <c r="M41" s="206"/>
      <c r="N41" s="206"/>
      <c r="O41" s="212"/>
      <c r="P41" s="212"/>
      <c r="Q41" s="212"/>
      <c r="R41" s="212"/>
      <c r="S41" s="212"/>
      <c r="T41" s="248"/>
      <c r="U41" s="235"/>
      <c r="V41" s="217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34">
        <f t="shared" si="8"/>
        <v>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37">
        <f t="shared" si="9"/>
        <v>0</v>
      </c>
      <c r="AX41" s="431">
        <f t="shared" si="6"/>
        <v>0</v>
      </c>
    </row>
    <row r="42" spans="1:54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7"/>
        <v>0</v>
      </c>
      <c r="I42" s="154"/>
      <c r="J42" s="157"/>
      <c r="K42" s="154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34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37">
        <f t="shared" si="9"/>
        <v>0</v>
      </c>
      <c r="AX42" s="431">
        <f t="shared" si="6"/>
        <v>0</v>
      </c>
    </row>
    <row r="43" spans="1:54" ht="15">
      <c r="A43" s="573">
        <v>10</v>
      </c>
      <c r="B43" s="575" t="s">
        <v>104</v>
      </c>
      <c r="C43" s="576">
        <v>2024</v>
      </c>
      <c r="D43" s="577">
        <v>30375467</v>
      </c>
      <c r="E43" s="578">
        <f>+D43*E31</f>
        <v>21262826.899999999</v>
      </c>
      <c r="F43" s="579">
        <f>+D43*F31</f>
        <v>9112640.0999999996</v>
      </c>
      <c r="G43" s="580"/>
      <c r="H43" s="319">
        <f t="shared" si="7"/>
        <v>30375467</v>
      </c>
      <c r="I43" s="154"/>
      <c r="J43" s="157"/>
      <c r="K43" s="154">
        <v>21262827</v>
      </c>
      <c r="L43" s="206"/>
      <c r="M43" s="206"/>
      <c r="N43" s="206"/>
      <c r="O43" s="212"/>
      <c r="P43" s="212"/>
      <c r="Q43" s="212"/>
      <c r="R43" s="212">
        <v>9112640</v>
      </c>
      <c r="S43" s="212"/>
      <c r="T43" s="248"/>
      <c r="U43" s="235"/>
      <c r="V43" s="217"/>
      <c r="W43" s="206">
        <v>21262827</v>
      </c>
      <c r="X43" s="206"/>
      <c r="Y43" s="206"/>
      <c r="Z43" s="206"/>
      <c r="AA43" s="206"/>
      <c r="AB43" s="206"/>
      <c r="AC43" s="206"/>
      <c r="AD43" s="206">
        <v>9112640</v>
      </c>
      <c r="AE43" s="206"/>
      <c r="AF43" s="206"/>
      <c r="AG43" s="34">
        <f t="shared" si="8"/>
        <v>30375467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>
        <v>14976701</v>
      </c>
      <c r="AU43" s="206">
        <v>2163430</v>
      </c>
      <c r="AV43" s="227">
        <v>1374029</v>
      </c>
      <c r="AW43" s="37">
        <f t="shared" si="9"/>
        <v>18514160</v>
      </c>
      <c r="AX43" s="431">
        <f t="shared" si="6"/>
        <v>11861307</v>
      </c>
    </row>
    <row r="44" spans="1:54" ht="15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7"/>
        <v>0</v>
      </c>
      <c r="I44" s="154"/>
      <c r="J44" s="12"/>
      <c r="K44" s="154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34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37">
        <f t="shared" si="9"/>
        <v>0</v>
      </c>
      <c r="AX44" s="431">
        <f t="shared" si="6"/>
        <v>0</v>
      </c>
    </row>
    <row r="45" spans="1:54" s="190" customFormat="1" ht="28.5">
      <c r="A45" s="573">
        <v>12</v>
      </c>
      <c r="B45" s="618" t="s">
        <v>79</v>
      </c>
      <c r="C45" s="603" t="s">
        <v>232</v>
      </c>
      <c r="D45" s="597">
        <v>23845624</v>
      </c>
      <c r="E45" s="604">
        <f>+D45*E31</f>
        <v>16691936.799999999</v>
      </c>
      <c r="F45" s="605">
        <f>+D45*F31</f>
        <v>7153687.2000000002</v>
      </c>
      <c r="G45" s="606"/>
      <c r="H45" s="349">
        <f t="shared" si="7"/>
        <v>23845623.799999997</v>
      </c>
      <c r="I45" s="188"/>
      <c r="J45" s="187"/>
      <c r="K45" s="188">
        <v>16691936.799999999</v>
      </c>
      <c r="L45" s="231">
        <v>16691937</v>
      </c>
      <c r="M45" s="231">
        <v>-16691937</v>
      </c>
      <c r="N45" s="231"/>
      <c r="O45" s="212"/>
      <c r="P45" s="212"/>
      <c r="Q45" s="212"/>
      <c r="R45" s="212">
        <v>7153687</v>
      </c>
      <c r="S45" s="212"/>
      <c r="T45" s="248"/>
      <c r="U45" s="238"/>
      <c r="V45" s="230"/>
      <c r="W45" s="231">
        <v>16691937</v>
      </c>
      <c r="X45" s="231">
        <v>16691937</v>
      </c>
      <c r="Y45" s="231">
        <v>-16691937</v>
      </c>
      <c r="Z45" s="231"/>
      <c r="AA45" s="231"/>
      <c r="AB45" s="231"/>
      <c r="AC45" s="231"/>
      <c r="AD45" s="231"/>
      <c r="AE45" s="231">
        <v>7153687</v>
      </c>
      <c r="AF45" s="231"/>
      <c r="AG45" s="360">
        <f t="shared" si="8"/>
        <v>23845624</v>
      </c>
      <c r="AH45" s="350">
        <f t="shared" si="5"/>
        <v>-0.20000000298023224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>
        <v>6506320</v>
      </c>
      <c r="AU45" s="231">
        <v>818842</v>
      </c>
      <c r="AV45" s="436">
        <v>2448927</v>
      </c>
      <c r="AW45" s="452">
        <f t="shared" si="9"/>
        <v>9774089</v>
      </c>
      <c r="AX45" s="431">
        <f t="shared" si="6"/>
        <v>14071535</v>
      </c>
    </row>
    <row r="46" spans="1:54" ht="15">
      <c r="A46" s="18">
        <v>13</v>
      </c>
      <c r="B46" s="7" t="s">
        <v>80</v>
      </c>
      <c r="C46" s="147"/>
      <c r="D46" s="13"/>
      <c r="E46" s="171"/>
      <c r="F46" s="172"/>
      <c r="G46" s="343"/>
      <c r="H46" s="319">
        <f t="shared" si="7"/>
        <v>0</v>
      </c>
      <c r="I46" s="154"/>
      <c r="J46" s="12"/>
      <c r="K46" s="154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34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37">
        <f>SUM(AK46:AV46)</f>
        <v>0</v>
      </c>
      <c r="AX46" s="431">
        <f t="shared" si="6"/>
        <v>0</v>
      </c>
    </row>
    <row r="47" spans="1:54" ht="15">
      <c r="A47" s="573">
        <v>14</v>
      </c>
      <c r="B47" s="575" t="s">
        <v>81</v>
      </c>
      <c r="C47" s="576">
        <v>2891</v>
      </c>
      <c r="D47" s="577">
        <v>35130618</v>
      </c>
      <c r="E47" s="578">
        <f>+D47*0.7</f>
        <v>24591432.599999998</v>
      </c>
      <c r="F47" s="579">
        <f>+D47*0.3</f>
        <v>10539185.4</v>
      </c>
      <c r="G47" s="580"/>
      <c r="H47" s="319">
        <f t="shared" si="7"/>
        <v>35130618</v>
      </c>
      <c r="I47" s="154"/>
      <c r="J47" s="12"/>
      <c r="K47" s="154"/>
      <c r="L47" s="206"/>
      <c r="M47" s="9">
        <v>24591432</v>
      </c>
      <c r="N47" s="206"/>
      <c r="O47" s="212"/>
      <c r="P47" s="212"/>
      <c r="Q47" s="212"/>
      <c r="R47" s="212">
        <v>10539186</v>
      </c>
      <c r="S47" s="212"/>
      <c r="T47" s="248"/>
      <c r="U47" s="235"/>
      <c r="V47" s="206"/>
      <c r="W47" s="206"/>
      <c r="X47" s="206"/>
      <c r="Y47" s="206">
        <v>24591432</v>
      </c>
      <c r="Z47" s="206"/>
      <c r="AA47" s="206"/>
      <c r="AB47" s="206"/>
      <c r="AC47" s="206"/>
      <c r="AD47" s="206">
        <v>10539186</v>
      </c>
      <c r="AE47" s="206"/>
      <c r="AF47" s="206"/>
      <c r="AG47" s="34">
        <f t="shared" si="8"/>
        <v>35130618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>
        <v>2771000</v>
      </c>
      <c r="AU47" s="206"/>
      <c r="AV47" s="227">
        <v>986000</v>
      </c>
      <c r="AW47" s="37">
        <f t="shared" ref="AW47:AW67" si="10">SUM(AK47:AV47)</f>
        <v>3757000</v>
      </c>
      <c r="AX47" s="431">
        <f t="shared" si="6"/>
        <v>31373618</v>
      </c>
    </row>
    <row r="48" spans="1:54" ht="15" customHeight="1">
      <c r="A48" s="573">
        <v>15</v>
      </c>
      <c r="B48" s="575" t="s">
        <v>82</v>
      </c>
      <c r="C48" s="576">
        <v>1437</v>
      </c>
      <c r="D48" s="577">
        <v>151140096</v>
      </c>
      <c r="E48" s="578">
        <f>+D48*G31</f>
        <v>12595008</v>
      </c>
      <c r="F48" s="579">
        <f>+D48*G31</f>
        <v>12595008</v>
      </c>
      <c r="G48" s="580">
        <f>+D48*G31</f>
        <v>12595008</v>
      </c>
      <c r="H48" s="319">
        <f t="shared" si="7"/>
        <v>151140096</v>
      </c>
      <c r="I48" s="154"/>
      <c r="J48" s="12"/>
      <c r="K48" s="154">
        <v>37785024</v>
      </c>
      <c r="L48" s="206">
        <v>12595008</v>
      </c>
      <c r="M48" s="206">
        <v>12595008</v>
      </c>
      <c r="N48" s="206">
        <v>12595008</v>
      </c>
      <c r="O48" s="212">
        <v>12595008</v>
      </c>
      <c r="P48" s="212">
        <v>12595008</v>
      </c>
      <c r="Q48" s="212">
        <v>12595008</v>
      </c>
      <c r="R48" s="212">
        <v>12595008</v>
      </c>
      <c r="S48" s="212">
        <v>12595008</v>
      </c>
      <c r="T48" s="248">
        <v>12595008</v>
      </c>
      <c r="U48" s="235"/>
      <c r="V48" s="206"/>
      <c r="W48" s="206">
        <v>37785024</v>
      </c>
      <c r="X48" s="206">
        <v>12595008</v>
      </c>
      <c r="Y48" s="206">
        <v>12595008</v>
      </c>
      <c r="Z48" s="206"/>
      <c r="AA48" s="206"/>
      <c r="AB48" s="206">
        <f>25190016+12595008</f>
        <v>37785024</v>
      </c>
      <c r="AC48" s="206">
        <v>12595008</v>
      </c>
      <c r="AD48" s="206">
        <v>12595008</v>
      </c>
      <c r="AE48" s="206"/>
      <c r="AF48" s="206">
        <v>12595008</v>
      </c>
      <c r="AG48" s="34">
        <f t="shared" si="8"/>
        <v>138545088</v>
      </c>
      <c r="AH48" s="124">
        <f t="shared" si="5"/>
        <v>12595008</v>
      </c>
      <c r="AK48" s="235"/>
      <c r="AL48" s="206"/>
      <c r="AM48" s="206"/>
      <c r="AN48" s="206"/>
      <c r="AO48" s="206"/>
      <c r="AP48" s="206"/>
      <c r="AQ48" s="206"/>
      <c r="AR48" s="206">
        <v>56561849</v>
      </c>
      <c r="AS48" s="206">
        <v>16788853</v>
      </c>
      <c r="AT48" s="206">
        <v>26420628</v>
      </c>
      <c r="AU48" s="206">
        <v>13516996</v>
      </c>
      <c r="AV48" s="227">
        <v>15840030</v>
      </c>
      <c r="AW48" s="37">
        <f t="shared" si="10"/>
        <v>129128356</v>
      </c>
      <c r="AX48" s="431">
        <f t="shared" si="6"/>
        <v>9416732</v>
      </c>
    </row>
    <row r="49" spans="1:53" ht="15">
      <c r="A49" s="573">
        <v>16</v>
      </c>
      <c r="B49" s="575" t="s">
        <v>83</v>
      </c>
      <c r="C49" s="576">
        <v>1914</v>
      </c>
      <c r="D49" s="577">
        <v>21530304</v>
      </c>
      <c r="E49" s="578">
        <f>+D49*E31</f>
        <v>15071212.799999999</v>
      </c>
      <c r="F49" s="579">
        <f>+D49*F31</f>
        <v>6459091.2000000002</v>
      </c>
      <c r="G49" s="580"/>
      <c r="H49" s="319">
        <f t="shared" si="7"/>
        <v>21530304.799999997</v>
      </c>
      <c r="I49" s="154"/>
      <c r="J49" s="12"/>
      <c r="K49" s="154">
        <v>15071212.799999999</v>
      </c>
      <c r="L49" s="206"/>
      <c r="M49" s="206"/>
      <c r="N49" s="206"/>
      <c r="O49" s="212"/>
      <c r="P49" s="212"/>
      <c r="Q49" s="212"/>
      <c r="R49" s="212">
        <v>6459092</v>
      </c>
      <c r="S49" s="212"/>
      <c r="T49" s="248"/>
      <c r="U49" s="235"/>
      <c r="V49" s="206"/>
      <c r="W49" s="206">
        <v>15071213</v>
      </c>
      <c r="X49" s="206"/>
      <c r="Y49" s="206"/>
      <c r="Z49" s="206"/>
      <c r="AA49" s="206"/>
      <c r="AB49" s="206"/>
      <c r="AC49" s="206"/>
      <c r="AD49" s="206"/>
      <c r="AE49" s="206">
        <v>6459092</v>
      </c>
      <c r="AF49" s="206"/>
      <c r="AG49" s="34">
        <f t="shared" si="8"/>
        <v>21530305</v>
      </c>
      <c r="AH49" s="124">
        <f t="shared" si="5"/>
        <v>-0.20000000298023224</v>
      </c>
      <c r="AK49" s="235"/>
      <c r="AL49" s="206"/>
      <c r="AM49" s="206"/>
      <c r="AN49" s="206"/>
      <c r="AO49" s="206"/>
      <c r="AP49" s="206"/>
      <c r="AQ49" s="206"/>
      <c r="AR49" s="206"/>
      <c r="AS49" s="206">
        <v>11624096</v>
      </c>
      <c r="AT49" s="206">
        <v>3508784</v>
      </c>
      <c r="AU49" s="206">
        <v>1754392</v>
      </c>
      <c r="AV49" s="227">
        <v>1754392</v>
      </c>
      <c r="AW49" s="37">
        <f t="shared" si="10"/>
        <v>18641664</v>
      </c>
      <c r="AX49" s="431">
        <f t="shared" si="6"/>
        <v>2888641</v>
      </c>
      <c r="AZ49" s="170">
        <f>+AX50+AX51+AX52+AX53</f>
        <v>31130025.900000006</v>
      </c>
    </row>
    <row r="50" spans="1:53" ht="15">
      <c r="A50" s="573">
        <v>17</v>
      </c>
      <c r="B50" s="575" t="s">
        <v>95</v>
      </c>
      <c r="C50" s="576">
        <v>1235</v>
      </c>
      <c r="D50" s="577">
        <v>3665220</v>
      </c>
      <c r="E50" s="578">
        <f>+D50*$E$31</f>
        <v>2565654</v>
      </c>
      <c r="F50" s="579">
        <f>+D50*$F$31</f>
        <v>1099566</v>
      </c>
      <c r="G50" s="669"/>
      <c r="H50" s="319">
        <f t="shared" si="7"/>
        <v>3665220</v>
      </c>
      <c r="I50" s="154"/>
      <c r="J50" s="12"/>
      <c r="K50" s="154">
        <v>2565654</v>
      </c>
      <c r="L50" s="206"/>
      <c r="M50" s="206"/>
      <c r="N50" s="206"/>
      <c r="O50" s="212"/>
      <c r="P50" s="212"/>
      <c r="Q50" s="212"/>
      <c r="R50" s="212">
        <v>645335.4636159261</v>
      </c>
      <c r="S50" s="212">
        <v>454230.53638407402</v>
      </c>
      <c r="T50" s="248"/>
      <c r="U50" s="235"/>
      <c r="V50" s="206"/>
      <c r="W50" s="206">
        <v>2565654</v>
      </c>
      <c r="X50" s="206"/>
      <c r="Y50" s="206"/>
      <c r="Z50" s="206"/>
      <c r="AA50" s="206"/>
      <c r="AB50" s="206"/>
      <c r="AC50" s="206"/>
      <c r="AD50" s="206"/>
      <c r="AE50" s="206">
        <v>645335.4636159261</v>
      </c>
      <c r="AF50" s="206"/>
      <c r="AG50" s="34">
        <f t="shared" si="8"/>
        <v>3210989.463615926</v>
      </c>
      <c r="AH50" s="124">
        <f t="shared" si="5"/>
        <v>454230.53638407402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>
        <v>209195.8621616881</v>
      </c>
      <c r="AV50" s="227">
        <v>488935.57381620217</v>
      </c>
      <c r="AW50" s="37">
        <f t="shared" si="10"/>
        <v>698131.43597789027</v>
      </c>
      <c r="AX50" s="431">
        <f t="shared" si="6"/>
        <v>2512858.0276380358</v>
      </c>
      <c r="AY50" s="6">
        <v>6057078</v>
      </c>
      <c r="AZ50" s="149">
        <f>+(AX50*$AY$51)/$AZ$49</f>
        <v>8.0721360004973056E-2</v>
      </c>
      <c r="BA50" s="6">
        <f>+$AY$50*AZ50</f>
        <v>488935.57381620217</v>
      </c>
    </row>
    <row r="51" spans="1:53" ht="15">
      <c r="A51" s="573">
        <v>18</v>
      </c>
      <c r="B51" s="575" t="s">
        <v>96</v>
      </c>
      <c r="C51" s="576">
        <v>1235</v>
      </c>
      <c r="D51" s="577">
        <v>34819590</v>
      </c>
      <c r="E51" s="578">
        <f>+D51*$E$31</f>
        <v>24373713</v>
      </c>
      <c r="F51" s="579">
        <f>+D51*$F$31</f>
        <v>10445877</v>
      </c>
      <c r="G51" s="669"/>
      <c r="H51" s="319">
        <f t="shared" si="7"/>
        <v>34819590</v>
      </c>
      <c r="I51" s="154"/>
      <c r="J51" s="12"/>
      <c r="K51" s="154">
        <v>24373713</v>
      </c>
      <c r="L51" s="206"/>
      <c r="M51" s="206"/>
      <c r="N51" s="206"/>
      <c r="O51" s="212"/>
      <c r="P51" s="212"/>
      <c r="Q51" s="212"/>
      <c r="R51" s="212">
        <v>4517348.2453114828</v>
      </c>
      <c r="S51" s="212">
        <v>5928528.7546885163</v>
      </c>
      <c r="T51" s="248"/>
      <c r="U51" s="235"/>
      <c r="V51" s="206"/>
      <c r="W51" s="206">
        <v>24373713</v>
      </c>
      <c r="X51" s="206"/>
      <c r="Y51" s="206"/>
      <c r="Z51" s="206"/>
      <c r="AA51" s="206"/>
      <c r="AB51" s="206"/>
      <c r="AC51" s="206"/>
      <c r="AD51" s="206"/>
      <c r="AE51" s="206">
        <v>4517348.2453114828</v>
      </c>
      <c r="AF51" s="206"/>
      <c r="AG51" s="34">
        <f t="shared" si="8"/>
        <v>28891061.245311484</v>
      </c>
      <c r="AH51" s="124">
        <f t="shared" si="5"/>
        <v>5928528.7546885163</v>
      </c>
      <c r="AI51" s="170">
        <f>+AH50+AH52+AH51+AH53</f>
        <v>8054933.0999999996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>
        <v>1882251.7278437244</v>
      </c>
      <c r="AV51" s="227">
        <v>4399225.7739233244</v>
      </c>
      <c r="AW51" s="37">
        <f t="shared" si="10"/>
        <v>6281477.5017670486</v>
      </c>
      <c r="AX51" s="431">
        <f t="shared" si="6"/>
        <v>22609583.743544437</v>
      </c>
      <c r="AY51" s="149">
        <v>1</v>
      </c>
      <c r="AZ51" s="149">
        <f>+(AX51*$AY$51)/$AZ$49</f>
        <v>0.72629505083529122</v>
      </c>
      <c r="BA51" s="6">
        <f>+$AY$50*AZ51</f>
        <v>4399225.7739233244</v>
      </c>
    </row>
    <row r="52" spans="1:53" ht="15">
      <c r="A52" s="573">
        <v>19</v>
      </c>
      <c r="B52" s="575" t="s">
        <v>97</v>
      </c>
      <c r="C52" s="576">
        <v>1235</v>
      </c>
      <c r="D52" s="577">
        <v>4333368</v>
      </c>
      <c r="E52" s="578">
        <f>+D52*$E$31</f>
        <v>3033357.5999999996</v>
      </c>
      <c r="F52" s="579">
        <f>+D52*$F$31</f>
        <v>1300010.3999999999</v>
      </c>
      <c r="G52" s="669"/>
      <c r="H52" s="319">
        <f t="shared" si="7"/>
        <v>4333368</v>
      </c>
      <c r="I52" s="154"/>
      <c r="J52" s="12"/>
      <c r="K52" s="154">
        <v>3033357.5999999996</v>
      </c>
      <c r="L52" s="206"/>
      <c r="M52" s="206"/>
      <c r="N52" s="206"/>
      <c r="O52" s="212"/>
      <c r="P52" s="212"/>
      <c r="Q52" s="212"/>
      <c r="R52" s="212">
        <v>903524.58291746711</v>
      </c>
      <c r="S52" s="212">
        <v>396485.81708253315</v>
      </c>
      <c r="T52" s="248"/>
      <c r="U52" s="235"/>
      <c r="V52" s="206"/>
      <c r="W52" s="206">
        <v>3033357.5999999996</v>
      </c>
      <c r="X52" s="206"/>
      <c r="Y52" s="206"/>
      <c r="Z52" s="206"/>
      <c r="AA52" s="206"/>
      <c r="AB52" s="206"/>
      <c r="AC52" s="206"/>
      <c r="AD52" s="206"/>
      <c r="AE52" s="206">
        <v>903524.58291746711</v>
      </c>
      <c r="AF52" s="206"/>
      <c r="AG52" s="34">
        <f t="shared" si="8"/>
        <v>3936882.1829174669</v>
      </c>
      <c r="AH52" s="124">
        <f t="shared" si="5"/>
        <v>396485.81708253315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>
        <v>256487.74990278773</v>
      </c>
      <c r="AV52" s="227">
        <v>599466.85311882233</v>
      </c>
      <c r="AW52" s="37">
        <f t="shared" si="10"/>
        <v>855954.60302161006</v>
      </c>
      <c r="AX52" s="431">
        <f t="shared" si="6"/>
        <v>3080927.5798958568</v>
      </c>
      <c r="AZ52" s="149">
        <f>+(AX52*$AY$51)/$AZ$49</f>
        <v>9.8969643963446111E-2</v>
      </c>
      <c r="BA52" s="6">
        <f>+$AY$50*AZ52</f>
        <v>599466.85311882221</v>
      </c>
    </row>
    <row r="53" spans="1:53" ht="15">
      <c r="A53" s="573">
        <v>20</v>
      </c>
      <c r="B53" s="575" t="s">
        <v>98</v>
      </c>
      <c r="C53" s="576">
        <v>1235</v>
      </c>
      <c r="D53" s="577">
        <v>5015439</v>
      </c>
      <c r="E53" s="578">
        <f>+D53*$E$31</f>
        <v>3510807.3</v>
      </c>
      <c r="F53" s="579">
        <f>+D53*$F$31</f>
        <v>1504631.7</v>
      </c>
      <c r="G53" s="669"/>
      <c r="H53" s="319">
        <f t="shared" si="7"/>
        <v>5015439</v>
      </c>
      <c r="I53" s="154"/>
      <c r="J53" s="12"/>
      <c r="K53" s="154">
        <v>3510807.3</v>
      </c>
      <c r="L53" s="206"/>
      <c r="M53" s="206"/>
      <c r="N53" s="206"/>
      <c r="O53" s="212"/>
      <c r="P53" s="212"/>
      <c r="Q53" s="212"/>
      <c r="R53" s="212">
        <v>228943.70815512442</v>
      </c>
      <c r="S53" s="212">
        <v>1275687.9918448757</v>
      </c>
      <c r="T53" s="248"/>
      <c r="U53" s="235"/>
      <c r="V53" s="206"/>
      <c r="W53" s="206">
        <v>3510807.3</v>
      </c>
      <c r="X53" s="206"/>
      <c r="Y53" s="206"/>
      <c r="Z53" s="206"/>
      <c r="AA53" s="206"/>
      <c r="AB53" s="206"/>
      <c r="AC53" s="206"/>
      <c r="AD53" s="206"/>
      <c r="AE53" s="206">
        <v>228943.70815512442</v>
      </c>
      <c r="AF53" s="206"/>
      <c r="AG53" s="34">
        <f t="shared" si="8"/>
        <v>3739751.0081551243</v>
      </c>
      <c r="AH53" s="124">
        <f t="shared" si="5"/>
        <v>1275687.9918448757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>
        <v>243644.6600918</v>
      </c>
      <c r="AV53" s="227">
        <v>569449.79914165079</v>
      </c>
      <c r="AW53" s="37">
        <f t="shared" si="10"/>
        <v>813094.45923345082</v>
      </c>
      <c r="AX53" s="431">
        <f t="shared" si="6"/>
        <v>2926656.5489216736</v>
      </c>
      <c r="AZ53" s="149">
        <f>+(AX53*$AY$51)/$AZ$49</f>
        <v>9.4013945196289514E-2</v>
      </c>
      <c r="BA53" s="6">
        <f>+$AY$50*AZ53</f>
        <v>569449.7991416509</v>
      </c>
    </row>
    <row r="54" spans="1:53" ht="15">
      <c r="A54" s="573">
        <v>21</v>
      </c>
      <c r="B54" s="575" t="s">
        <v>84</v>
      </c>
      <c r="C54" s="576">
        <v>2266</v>
      </c>
      <c r="D54" s="577">
        <v>6737216</v>
      </c>
      <c r="E54" s="578">
        <f>+D54*$E$31</f>
        <v>4716051.1999999993</v>
      </c>
      <c r="F54" s="579">
        <f>+D54*$F$31</f>
        <v>2021164.7999999998</v>
      </c>
      <c r="G54" s="580"/>
      <c r="H54" s="319">
        <f t="shared" si="7"/>
        <v>6737216</v>
      </c>
      <c r="I54" s="154"/>
      <c r="J54" s="12"/>
      <c r="K54" s="154"/>
      <c r="L54" s="206">
        <v>4716051</v>
      </c>
      <c r="M54" s="206"/>
      <c r="N54" s="206"/>
      <c r="O54" s="212"/>
      <c r="P54" s="212"/>
      <c r="Q54" s="212"/>
      <c r="R54" s="212">
        <v>2021165</v>
      </c>
      <c r="S54" s="212"/>
      <c r="T54" s="248"/>
      <c r="U54" s="235"/>
      <c r="V54" s="206"/>
      <c r="W54" s="206"/>
      <c r="X54" s="206">
        <v>4716051</v>
      </c>
      <c r="Y54" s="206"/>
      <c r="Z54" s="206"/>
      <c r="AA54" s="206"/>
      <c r="AB54" s="206"/>
      <c r="AC54" s="206"/>
      <c r="AD54" s="206">
        <v>2021165</v>
      </c>
      <c r="AE54" s="206"/>
      <c r="AF54" s="206"/>
      <c r="AG54" s="34">
        <f t="shared" si="8"/>
        <v>6737216</v>
      </c>
      <c r="AH54" s="124">
        <f t="shared" si="5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>
        <v>772000</v>
      </c>
      <c r="AU54" s="206">
        <v>526279</v>
      </c>
      <c r="AV54" s="227">
        <v>1196700</v>
      </c>
      <c r="AW54" s="37">
        <f t="shared" si="10"/>
        <v>2494979</v>
      </c>
      <c r="AX54" s="431">
        <f t="shared" si="6"/>
        <v>4242237</v>
      </c>
    </row>
    <row r="55" spans="1:53" ht="15">
      <c r="A55" s="18">
        <v>22</v>
      </c>
      <c r="B55" s="7" t="s">
        <v>85</v>
      </c>
      <c r="C55" s="147"/>
      <c r="D55" s="13"/>
      <c r="E55" s="142"/>
      <c r="F55" s="143"/>
      <c r="G55" s="160"/>
      <c r="H55" s="319">
        <f t="shared" si="7"/>
        <v>0</v>
      </c>
      <c r="I55" s="154"/>
      <c r="J55" s="12"/>
      <c r="K55" s="154"/>
      <c r="L55" s="206"/>
      <c r="M55" s="207">
        <v>0</v>
      </c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34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37">
        <f t="shared" si="10"/>
        <v>0</v>
      </c>
      <c r="AX55" s="431">
        <f t="shared" si="6"/>
        <v>0</v>
      </c>
    </row>
    <row r="56" spans="1:53" ht="15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7"/>
        <v>0</v>
      </c>
      <c r="I56" s="154"/>
      <c r="J56" s="12"/>
      <c r="K56" s="154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34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37">
        <f t="shared" si="10"/>
        <v>0</v>
      </c>
      <c r="AX56" s="431">
        <f t="shared" si="6"/>
        <v>0</v>
      </c>
    </row>
    <row r="57" spans="1:53" ht="15">
      <c r="A57" s="18">
        <v>24</v>
      </c>
      <c r="B57" s="7" t="s">
        <v>87</v>
      </c>
      <c r="C57" s="147"/>
      <c r="D57" s="13"/>
      <c r="E57" s="142"/>
      <c r="F57" s="143"/>
      <c r="G57" s="160"/>
      <c r="H57" s="319">
        <f t="shared" si="7"/>
        <v>0</v>
      </c>
      <c r="I57" s="154"/>
      <c r="J57" s="12"/>
      <c r="K57" s="154"/>
      <c r="L57" s="206"/>
      <c r="M57" s="206"/>
      <c r="N57" s="206"/>
      <c r="O57" s="212"/>
      <c r="P57" s="212"/>
      <c r="Q57" s="212"/>
      <c r="R57" s="212"/>
      <c r="S57" s="212"/>
      <c r="T57" s="248"/>
      <c r="U57" s="235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34">
        <f t="shared" si="8"/>
        <v>0</v>
      </c>
      <c r="AH57" s="124">
        <f t="shared" si="5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37">
        <f t="shared" si="10"/>
        <v>0</v>
      </c>
      <c r="AX57" s="431">
        <f t="shared" si="6"/>
        <v>0</v>
      </c>
    </row>
    <row r="58" spans="1:53" s="190" customFormat="1" ht="28.5">
      <c r="A58" s="573">
        <v>25</v>
      </c>
      <c r="B58" s="595" t="s">
        <v>109</v>
      </c>
      <c r="C58" s="603">
        <v>2025</v>
      </c>
      <c r="D58" s="597">
        <v>3696647</v>
      </c>
      <c r="E58" s="598">
        <f>+D58*E31</f>
        <v>2587652.9</v>
      </c>
      <c r="F58" s="599">
        <f>+D58*F31</f>
        <v>1108994.0999999999</v>
      </c>
      <c r="G58" s="600"/>
      <c r="H58" s="349">
        <f t="shared" si="7"/>
        <v>3696647</v>
      </c>
      <c r="I58" s="188"/>
      <c r="J58" s="187"/>
      <c r="K58" s="188"/>
      <c r="L58" s="231">
        <v>2587652</v>
      </c>
      <c r="M58" s="231"/>
      <c r="N58" s="231"/>
      <c r="O58" s="212"/>
      <c r="P58" s="212"/>
      <c r="Q58" s="212"/>
      <c r="R58" s="212">
        <v>1108995</v>
      </c>
      <c r="S58" s="212"/>
      <c r="T58" s="248"/>
      <c r="U58" s="238"/>
      <c r="V58" s="231"/>
      <c r="W58" s="231"/>
      <c r="X58" s="231">
        <v>2587652</v>
      </c>
      <c r="Y58" s="231"/>
      <c r="Z58" s="231"/>
      <c r="AA58" s="231"/>
      <c r="AB58" s="231"/>
      <c r="AC58" s="231"/>
      <c r="AD58" s="231">
        <v>1108995</v>
      </c>
      <c r="AE58" s="231"/>
      <c r="AF58" s="231"/>
      <c r="AG58" s="360">
        <f t="shared" si="8"/>
        <v>3696647</v>
      </c>
      <c r="AH58" s="350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>
        <v>1597059</v>
      </c>
      <c r="AV58" s="436"/>
      <c r="AW58" s="452">
        <f t="shared" si="10"/>
        <v>1597059</v>
      </c>
      <c r="AX58" s="431">
        <f t="shared" si="6"/>
        <v>2099588</v>
      </c>
    </row>
    <row r="59" spans="1:53" ht="15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7"/>
        <v>0</v>
      </c>
      <c r="I59" s="154"/>
      <c r="J59" s="12"/>
      <c r="K59" s="154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34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37">
        <f t="shared" si="10"/>
        <v>0</v>
      </c>
      <c r="AX59" s="431">
        <f t="shared" si="6"/>
        <v>0</v>
      </c>
    </row>
    <row r="60" spans="1:53" ht="15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7"/>
        <v>0</v>
      </c>
      <c r="I60" s="154"/>
      <c r="J60" s="12"/>
      <c r="K60" s="154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34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37">
        <f t="shared" si="10"/>
        <v>0</v>
      </c>
      <c r="AX60" s="431">
        <f t="shared" si="6"/>
        <v>0</v>
      </c>
    </row>
    <row r="61" spans="1:53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7"/>
        <v>0</v>
      </c>
      <c r="I61" s="154"/>
      <c r="J61" s="12"/>
      <c r="K61" s="154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34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37">
        <f t="shared" si="10"/>
        <v>0</v>
      </c>
      <c r="AX61" s="431">
        <f t="shared" si="6"/>
        <v>0</v>
      </c>
    </row>
    <row r="62" spans="1:53" ht="15">
      <c r="A62" s="573">
        <v>29</v>
      </c>
      <c r="B62" s="575" t="s">
        <v>103</v>
      </c>
      <c r="C62" s="576">
        <v>1447</v>
      </c>
      <c r="D62" s="577">
        <v>22796910</v>
      </c>
      <c r="E62" s="578"/>
      <c r="F62" s="579"/>
      <c r="G62" s="580"/>
      <c r="H62" s="319">
        <f t="shared" si="7"/>
        <v>22796910</v>
      </c>
      <c r="I62" s="154"/>
      <c r="J62" s="12"/>
      <c r="K62" s="154">
        <v>22796910</v>
      </c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>
        <v>22796910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34">
        <f t="shared" si="8"/>
        <v>22796910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37">
        <f t="shared" si="10"/>
        <v>0</v>
      </c>
      <c r="AX62" s="431">
        <f t="shared" si="6"/>
        <v>22796910</v>
      </c>
    </row>
    <row r="63" spans="1:53" ht="15">
      <c r="A63" s="573">
        <v>30</v>
      </c>
      <c r="B63" s="575" t="s">
        <v>90</v>
      </c>
      <c r="C63" s="576">
        <v>2029</v>
      </c>
      <c r="D63" s="577">
        <v>58756346</v>
      </c>
      <c r="E63" s="578">
        <f>+D63*E31</f>
        <v>41129442.199999996</v>
      </c>
      <c r="F63" s="579">
        <f>+D63*F31</f>
        <v>17626903.800000001</v>
      </c>
      <c r="G63" s="580"/>
      <c r="H63" s="319">
        <f t="shared" si="7"/>
        <v>58756346</v>
      </c>
      <c r="I63" s="154"/>
      <c r="J63" s="12"/>
      <c r="K63" s="154"/>
      <c r="L63" s="206">
        <v>41129442</v>
      </c>
      <c r="M63" s="206"/>
      <c r="N63" s="206"/>
      <c r="O63" s="212"/>
      <c r="P63" s="212"/>
      <c r="Q63" s="212"/>
      <c r="R63" s="212">
        <v>17626904</v>
      </c>
      <c r="S63" s="212"/>
      <c r="T63" s="248"/>
      <c r="U63" s="235"/>
      <c r="V63" s="206"/>
      <c r="W63" s="206"/>
      <c r="X63" s="206">
        <v>41129442</v>
      </c>
      <c r="Y63" s="206"/>
      <c r="Z63" s="206"/>
      <c r="AA63" s="206"/>
      <c r="AB63" s="206"/>
      <c r="AC63" s="206"/>
      <c r="AD63" s="206">
        <v>17626904</v>
      </c>
      <c r="AE63" s="206"/>
      <c r="AF63" s="206"/>
      <c r="AG63" s="34">
        <f t="shared" si="8"/>
        <v>58756346</v>
      </c>
      <c r="AH63" s="124">
        <f t="shared" si="5"/>
        <v>0</v>
      </c>
      <c r="AK63" s="235"/>
      <c r="AL63" s="206"/>
      <c r="AM63" s="206"/>
      <c r="AN63" s="206"/>
      <c r="AO63" s="206"/>
      <c r="AP63" s="206"/>
      <c r="AQ63" s="206"/>
      <c r="AR63" s="206">
        <v>38682383</v>
      </c>
      <c r="AS63" s="206"/>
      <c r="AT63" s="206">
        <v>10307120</v>
      </c>
      <c r="AU63" s="206">
        <v>5442046</v>
      </c>
      <c r="AV63" s="227"/>
      <c r="AW63" s="37">
        <f t="shared" si="10"/>
        <v>54431549</v>
      </c>
      <c r="AX63" s="431">
        <f t="shared" si="6"/>
        <v>4324797</v>
      </c>
    </row>
    <row r="64" spans="1:53" ht="15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7"/>
        <v>0</v>
      </c>
      <c r="I64" s="154"/>
      <c r="J64" s="12"/>
      <c r="K64" s="154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34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37">
        <f t="shared" si="10"/>
        <v>0</v>
      </c>
      <c r="AX64" s="431">
        <f t="shared" si="6"/>
        <v>0</v>
      </c>
    </row>
    <row r="65" spans="1:50" ht="15">
      <c r="A65" s="573">
        <v>32</v>
      </c>
      <c r="B65" s="575" t="s">
        <v>92</v>
      </c>
      <c r="C65" s="576">
        <v>1378</v>
      </c>
      <c r="D65" s="577">
        <v>5689740</v>
      </c>
      <c r="E65" s="578">
        <f>+D65*E31</f>
        <v>3982817.9999999995</v>
      </c>
      <c r="F65" s="579">
        <f>+D65*F31</f>
        <v>1706922</v>
      </c>
      <c r="G65" s="580"/>
      <c r="H65" s="319">
        <f t="shared" si="7"/>
        <v>5689740</v>
      </c>
      <c r="I65" s="154"/>
      <c r="J65" s="12"/>
      <c r="K65" s="154">
        <v>3982817.9999999995</v>
      </c>
      <c r="L65" s="206"/>
      <c r="M65" s="206"/>
      <c r="N65" s="206"/>
      <c r="O65" s="212"/>
      <c r="P65" s="212"/>
      <c r="Q65" s="212"/>
      <c r="R65" s="212">
        <v>1706922.0000000005</v>
      </c>
      <c r="S65" s="212"/>
      <c r="T65" s="248"/>
      <c r="U65" s="235"/>
      <c r="V65" s="206"/>
      <c r="W65" s="206">
        <v>3982817.9999999995</v>
      </c>
      <c r="X65" s="206"/>
      <c r="Y65" s="206"/>
      <c r="Z65" s="206"/>
      <c r="AA65" s="206"/>
      <c r="AB65" s="206"/>
      <c r="AC65" s="206"/>
      <c r="AD65" s="206"/>
      <c r="AE65" s="206"/>
      <c r="AF65" s="206"/>
      <c r="AG65" s="34">
        <f t="shared" si="8"/>
        <v>3982817.9999999995</v>
      </c>
      <c r="AH65" s="124">
        <f t="shared" si="5"/>
        <v>1706922.0000000005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>
        <v>4583632</v>
      </c>
      <c r="AW65" s="37">
        <f t="shared" si="10"/>
        <v>4583632</v>
      </c>
      <c r="AX65" s="431">
        <f t="shared" si="6"/>
        <v>-600814.00000000047</v>
      </c>
    </row>
    <row r="66" spans="1:50" ht="15">
      <c r="A66" s="573">
        <v>33</v>
      </c>
      <c r="B66" s="568" t="s">
        <v>107</v>
      </c>
      <c r="C66" s="569">
        <v>2265</v>
      </c>
      <c r="D66" s="567">
        <v>5433288</v>
      </c>
      <c r="E66" s="563">
        <f>+D66*E31</f>
        <v>3803301.5999999996</v>
      </c>
      <c r="F66" s="564">
        <f>+D66*F31</f>
        <v>1629986.4</v>
      </c>
      <c r="G66" s="565"/>
      <c r="H66" s="319">
        <f t="shared" si="7"/>
        <v>5433288</v>
      </c>
      <c r="I66" s="155"/>
      <c r="J66" s="54"/>
      <c r="K66" s="155"/>
      <c r="L66" s="210">
        <v>3803301</v>
      </c>
      <c r="M66" s="210"/>
      <c r="N66" s="210"/>
      <c r="O66" s="212"/>
      <c r="P66" s="212"/>
      <c r="Q66" s="212"/>
      <c r="R66" s="212">
        <v>1629987</v>
      </c>
      <c r="S66" s="212"/>
      <c r="T66" s="248"/>
      <c r="U66" s="236"/>
      <c r="V66" s="210"/>
      <c r="W66" s="210"/>
      <c r="X66" s="210">
        <v>3803301</v>
      </c>
      <c r="Y66" s="210"/>
      <c r="Z66" s="210"/>
      <c r="AA66" s="210"/>
      <c r="AB66" s="210"/>
      <c r="AC66" s="210"/>
      <c r="AD66" s="210">
        <v>1629987</v>
      </c>
      <c r="AE66" s="210"/>
      <c r="AF66" s="210"/>
      <c r="AG66" s="34">
        <f t="shared" si="8"/>
        <v>5433288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>
        <v>1100000</v>
      </c>
      <c r="AT66" s="210">
        <v>300000</v>
      </c>
      <c r="AU66" s="210">
        <v>566679</v>
      </c>
      <c r="AV66" s="229">
        <v>950000</v>
      </c>
      <c r="AW66" s="37">
        <f t="shared" si="10"/>
        <v>2916679</v>
      </c>
      <c r="AX66" s="431">
        <f t="shared" si="6"/>
        <v>2516609</v>
      </c>
    </row>
    <row r="67" spans="1:50" ht="15">
      <c r="A67" s="573">
        <v>34</v>
      </c>
      <c r="B67" s="568" t="s">
        <v>180</v>
      </c>
      <c r="C67" s="569" t="s">
        <v>305</v>
      </c>
      <c r="D67" s="567">
        <f>24473912+98204000+51565484+15106453</f>
        <v>189349849</v>
      </c>
      <c r="E67" s="563">
        <v>17131738.399999999</v>
      </c>
      <c r="F67" s="564">
        <v>7342173.5999999996</v>
      </c>
      <c r="G67" s="565">
        <v>98204000</v>
      </c>
      <c r="H67" s="319">
        <f t="shared" si="7"/>
        <v>196084672</v>
      </c>
      <c r="I67" s="155"/>
      <c r="J67" s="54"/>
      <c r="K67" s="155">
        <v>17131738</v>
      </c>
      <c r="L67" s="210">
        <v>51611062</v>
      </c>
      <c r="M67" s="210">
        <v>51090374</v>
      </c>
      <c r="N67" s="210"/>
      <c r="O67" s="212"/>
      <c r="P67" s="212">
        <v>36095839</v>
      </c>
      <c r="Q67" s="212"/>
      <c r="R67" s="212">
        <f>19582862+6466344</f>
        <v>26049206</v>
      </c>
      <c r="S67" s="212">
        <v>14106453</v>
      </c>
      <c r="T67" s="248"/>
      <c r="U67" s="236"/>
      <c r="V67" s="210"/>
      <c r="W67" s="210">
        <v>17131738</v>
      </c>
      <c r="X67" s="210">
        <v>51611062</v>
      </c>
      <c r="Y67" s="210">
        <v>51090374</v>
      </c>
      <c r="Z67" s="210"/>
      <c r="AA67" s="210"/>
      <c r="AB67" s="210">
        <v>36095839</v>
      </c>
      <c r="AC67" s="210"/>
      <c r="AD67" s="210">
        <v>18314383</v>
      </c>
      <c r="AE67" s="210">
        <f>7371630+7734823</f>
        <v>15106453</v>
      </c>
      <c r="AF67" s="210"/>
      <c r="AG67" s="34">
        <f t="shared" si="8"/>
        <v>189349849</v>
      </c>
      <c r="AH67" s="124">
        <f t="shared" si="5"/>
        <v>6734823</v>
      </c>
      <c r="AI67" s="6">
        <v>7734823</v>
      </c>
      <c r="AK67" s="236"/>
      <c r="AL67" s="210"/>
      <c r="AM67" s="210"/>
      <c r="AN67" s="210"/>
      <c r="AO67" s="210">
        <v>0</v>
      </c>
      <c r="AP67" s="210"/>
      <c r="AQ67" s="210">
        <v>55770417</v>
      </c>
      <c r="AR67" s="210">
        <v>24599735</v>
      </c>
      <c r="AS67" s="210">
        <v>24589434</v>
      </c>
      <c r="AT67" s="210">
        <v>16827495</v>
      </c>
      <c r="AU67" s="210">
        <v>1615772</v>
      </c>
      <c r="AV67" s="229">
        <v>10318831</v>
      </c>
      <c r="AW67" s="37">
        <f t="shared" si="10"/>
        <v>133721684</v>
      </c>
      <c r="AX67" s="431">
        <f t="shared" si="6"/>
        <v>55628165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si="7"/>
        <v>0</v>
      </c>
      <c r="I68" s="155"/>
      <c r="J68" s="54"/>
      <c r="K68" s="155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34">
        <f t="shared" ref="AG68:AG74" si="11">SUM(U68:AF68)</f>
        <v>0</v>
      </c>
      <c r="AH68" s="124">
        <f t="shared" si="5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37">
        <f t="shared" ref="AW68:AW74" si="12">SUM(AK68:AV68)</f>
        <v>0</v>
      </c>
      <c r="AX68" s="431">
        <f t="shared" si="6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19">
        <f t="shared" si="7"/>
        <v>0</v>
      </c>
      <c r="I69" s="155"/>
      <c r="J69" s="54"/>
      <c r="K69" s="155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34">
        <f t="shared" si="11"/>
        <v>0</v>
      </c>
      <c r="AH69" s="124">
        <f t="shared" si="5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37">
        <f t="shared" si="12"/>
        <v>0</v>
      </c>
      <c r="AX69" s="431">
        <f t="shared" si="6"/>
        <v>0</v>
      </c>
    </row>
    <row r="70" spans="1:50" ht="15">
      <c r="A70" s="573">
        <v>37</v>
      </c>
      <c r="B70" s="568" t="s">
        <v>132</v>
      </c>
      <c r="C70" s="569">
        <v>2254</v>
      </c>
      <c r="D70" s="567">
        <v>14409299</v>
      </c>
      <c r="E70" s="563">
        <f>+D70*0.5</f>
        <v>7204649.5</v>
      </c>
      <c r="F70" s="564">
        <f>+D70*0.25</f>
        <v>3602324.75</v>
      </c>
      <c r="G70" s="565">
        <f>+D70*0.25</f>
        <v>3602324.75</v>
      </c>
      <c r="H70" s="319">
        <f t="shared" si="7"/>
        <v>14409299</v>
      </c>
      <c r="I70" s="155"/>
      <c r="J70" s="54"/>
      <c r="K70" s="155"/>
      <c r="L70" s="210"/>
      <c r="M70" s="210">
        <v>7204649</v>
      </c>
      <c r="N70" s="210"/>
      <c r="O70" s="212"/>
      <c r="P70" s="212">
        <v>3602325</v>
      </c>
      <c r="Q70" s="212"/>
      <c r="R70" s="212">
        <v>3602325</v>
      </c>
      <c r="S70" s="212"/>
      <c r="T70" s="248"/>
      <c r="U70" s="236"/>
      <c r="V70" s="210"/>
      <c r="W70" s="210"/>
      <c r="X70" s="210"/>
      <c r="Y70" s="210">
        <v>7204649</v>
      </c>
      <c r="Z70" s="210"/>
      <c r="AA70" s="210"/>
      <c r="AB70" s="210"/>
      <c r="AC70" s="210">
        <v>3602325</v>
      </c>
      <c r="AD70" s="210">
        <v>3602325</v>
      </c>
      <c r="AE70" s="210"/>
      <c r="AF70" s="210"/>
      <c r="AG70" s="34">
        <f t="shared" si="11"/>
        <v>14409299</v>
      </c>
      <c r="AH70" s="124">
        <f t="shared" si="5"/>
        <v>0</v>
      </c>
      <c r="AK70" s="236"/>
      <c r="AL70" s="210"/>
      <c r="AM70" s="210"/>
      <c r="AN70" s="210"/>
      <c r="AO70" s="210"/>
      <c r="AP70" s="210"/>
      <c r="AQ70" s="210"/>
      <c r="AR70" s="210"/>
      <c r="AS70" s="210">
        <v>4134360</v>
      </c>
      <c r="AT70" s="210">
        <v>2187180</v>
      </c>
      <c r="AU70" s="210">
        <v>1762269</v>
      </c>
      <c r="AV70" s="229">
        <v>1343590</v>
      </c>
      <c r="AW70" s="37">
        <f t="shared" si="12"/>
        <v>9427399</v>
      </c>
      <c r="AX70" s="431">
        <f t="shared" si="6"/>
        <v>4981900</v>
      </c>
    </row>
    <row r="71" spans="1:50" ht="15">
      <c r="A71" s="573">
        <v>38</v>
      </c>
      <c r="B71" s="568" t="s">
        <v>129</v>
      </c>
      <c r="C71" s="569">
        <v>2721</v>
      </c>
      <c r="D71" s="567">
        <v>2144875</v>
      </c>
      <c r="E71" s="563">
        <f>+D71*E31</f>
        <v>1501412.5</v>
      </c>
      <c r="F71" s="564">
        <f>+D71*F31</f>
        <v>643462.5</v>
      </c>
      <c r="G71" s="565"/>
      <c r="H71" s="319">
        <f t="shared" si="7"/>
        <v>2144875</v>
      </c>
      <c r="I71" s="155"/>
      <c r="J71" s="54"/>
      <c r="K71" s="155"/>
      <c r="L71" s="210"/>
      <c r="M71" s="210">
        <v>1501413</v>
      </c>
      <c r="N71" s="210"/>
      <c r="O71" s="212"/>
      <c r="P71" s="212"/>
      <c r="Q71" s="212"/>
      <c r="R71" s="212"/>
      <c r="S71" s="212">
        <v>643462</v>
      </c>
      <c r="T71" s="248"/>
      <c r="U71" s="236"/>
      <c r="V71" s="210"/>
      <c r="W71" s="210"/>
      <c r="X71" s="210"/>
      <c r="Y71" s="210">
        <v>1501413</v>
      </c>
      <c r="Z71" s="210"/>
      <c r="AA71" s="210"/>
      <c r="AB71" s="210"/>
      <c r="AC71" s="210"/>
      <c r="AD71" s="210"/>
      <c r="AE71" s="210">
        <v>643462</v>
      </c>
      <c r="AF71" s="210"/>
      <c r="AG71" s="34">
        <f t="shared" si="11"/>
        <v>2144875</v>
      </c>
      <c r="AH71" s="124">
        <f t="shared" si="5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37">
        <f t="shared" si="12"/>
        <v>0</v>
      </c>
      <c r="AX71" s="431">
        <f t="shared" si="6"/>
        <v>2144875</v>
      </c>
    </row>
    <row r="72" spans="1:50" ht="15">
      <c r="A72" s="573">
        <v>39</v>
      </c>
      <c r="B72" s="568" t="s">
        <v>133</v>
      </c>
      <c r="C72" s="569">
        <v>2212</v>
      </c>
      <c r="D72" s="567">
        <v>2413260</v>
      </c>
      <c r="E72" s="563">
        <f>+D72*$L$31</f>
        <v>804420</v>
      </c>
      <c r="F72" s="564">
        <f>+D72*$L$31</f>
        <v>804420</v>
      </c>
      <c r="G72" s="565">
        <f>+D72*$L$31</f>
        <v>804420</v>
      </c>
      <c r="H72" s="319">
        <f t="shared" si="7"/>
        <v>2413260</v>
      </c>
      <c r="I72" s="155"/>
      <c r="J72" s="54"/>
      <c r="K72" s="155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34">
        <f t="shared" si="11"/>
        <v>796375.8</v>
      </c>
      <c r="AH72" s="124">
        <f t="shared" si="5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37">
        <f t="shared" si="12"/>
        <v>0</v>
      </c>
      <c r="AX72" s="431">
        <f t="shared" si="6"/>
        <v>796375.8</v>
      </c>
    </row>
    <row r="73" spans="1:50" ht="15">
      <c r="A73" s="18">
        <v>40</v>
      </c>
      <c r="B73" s="52" t="s">
        <v>134</v>
      </c>
      <c r="C73" s="148"/>
      <c r="D73" s="43"/>
      <c r="E73" s="174">
        <f>+D73*$L$31</f>
        <v>0</v>
      </c>
      <c r="F73" s="175">
        <f>+D73*$L$31</f>
        <v>0</v>
      </c>
      <c r="G73" s="176">
        <f>+D73*$L$31</f>
        <v>0</v>
      </c>
      <c r="H73" s="319">
        <f t="shared" si="7"/>
        <v>0</v>
      </c>
      <c r="I73" s="155"/>
      <c r="J73" s="54"/>
      <c r="K73" s="155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34">
        <f t="shared" si="11"/>
        <v>0</v>
      </c>
      <c r="AH73" s="124">
        <f t="shared" si="5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37">
        <f t="shared" si="12"/>
        <v>0</v>
      </c>
      <c r="AX73" s="431">
        <f t="shared" si="6"/>
        <v>0</v>
      </c>
    </row>
    <row r="74" spans="1:50" ht="15">
      <c r="A74" s="18">
        <v>41</v>
      </c>
      <c r="B74" s="52" t="s">
        <v>135</v>
      </c>
      <c r="C74" s="148"/>
      <c r="D74" s="43"/>
      <c r="E74" s="174">
        <f>+D74*$L$31</f>
        <v>0</v>
      </c>
      <c r="F74" s="175">
        <f>+D74*$L$31</f>
        <v>0</v>
      </c>
      <c r="G74" s="176">
        <f>+D74*$L$31</f>
        <v>0</v>
      </c>
      <c r="H74" s="319">
        <f t="shared" si="7"/>
        <v>0</v>
      </c>
      <c r="I74" s="155"/>
      <c r="J74" s="54"/>
      <c r="K74" s="155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34">
        <f t="shared" si="11"/>
        <v>0</v>
      </c>
      <c r="AH74" s="124">
        <f t="shared" si="5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37">
        <f t="shared" si="12"/>
        <v>0</v>
      </c>
      <c r="AX74" s="431">
        <f t="shared" si="6"/>
        <v>0</v>
      </c>
    </row>
    <row r="75" spans="1:50" ht="15">
      <c r="A75" s="573">
        <v>42</v>
      </c>
      <c r="B75" s="568" t="s">
        <v>170</v>
      </c>
      <c r="C75" s="569">
        <v>3248</v>
      </c>
      <c r="D75" s="567">
        <v>2231018</v>
      </c>
      <c r="E75" s="736" t="s">
        <v>172</v>
      </c>
      <c r="F75" s="737"/>
      <c r="G75" s="738"/>
      <c r="H75" s="319">
        <f t="shared" si="7"/>
        <v>2231018.4</v>
      </c>
      <c r="I75" s="155"/>
      <c r="J75" s="54"/>
      <c r="K75" s="155"/>
      <c r="L75" s="210"/>
      <c r="M75" s="210"/>
      <c r="N75" s="210">
        <v>1561713</v>
      </c>
      <c r="O75" s="212"/>
      <c r="P75" s="212"/>
      <c r="Q75" s="212">
        <v>669305.4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34">
        <f t="shared" ref="AG75:AG82" si="13">SUM(U75:AF75)</f>
        <v>0</v>
      </c>
      <c r="AH75" s="124">
        <f t="shared" si="5"/>
        <v>2231018.4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37">
        <f t="shared" ref="AW75:AW82" si="14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9">
        <v>3249</v>
      </c>
      <c r="D76" s="567">
        <v>5321000</v>
      </c>
      <c r="E76" s="736" t="s">
        <v>172</v>
      </c>
      <c r="F76" s="737"/>
      <c r="G76" s="738"/>
      <c r="H76" s="319">
        <f t="shared" si="7"/>
        <v>5321000</v>
      </c>
      <c r="I76" s="155"/>
      <c r="J76" s="54"/>
      <c r="K76" s="155"/>
      <c r="L76" s="210"/>
      <c r="M76" s="210"/>
      <c r="N76" s="210">
        <v>3724700</v>
      </c>
      <c r="O76" s="212"/>
      <c r="P76" s="212"/>
      <c r="Q76" s="212"/>
      <c r="R76" s="212"/>
      <c r="S76" s="212">
        <v>1596300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34">
        <f t="shared" si="13"/>
        <v>0</v>
      </c>
      <c r="AH76" s="124">
        <f t="shared" si="5"/>
        <v>5321000</v>
      </c>
      <c r="AI76" s="170">
        <f>+AH75+AH76+AH77</f>
        <v>21746967.200000003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37">
        <f t="shared" si="14"/>
        <v>0</v>
      </c>
      <c r="AX76" s="431">
        <f t="shared" si="6"/>
        <v>0</v>
      </c>
    </row>
    <row r="77" spans="1:50" ht="15">
      <c r="A77" s="573">
        <v>44</v>
      </c>
      <c r="B77" s="568" t="s">
        <v>188</v>
      </c>
      <c r="C77" s="569" t="s">
        <v>218</v>
      </c>
      <c r="D77" s="567">
        <f>7448682+22487556</f>
        <v>29936238</v>
      </c>
      <c r="E77" s="579">
        <f>22487556*0.7</f>
        <v>15741289.199999999</v>
      </c>
      <c r="F77" s="579">
        <f>22487556*0.3</f>
        <v>6746266.7999999998</v>
      </c>
      <c r="G77" s="579"/>
      <c r="H77" s="483">
        <f t="shared" si="7"/>
        <v>29936238</v>
      </c>
      <c r="I77" s="155"/>
      <c r="J77" s="54"/>
      <c r="K77" s="155"/>
      <c r="L77" s="210"/>
      <c r="M77" s="210"/>
      <c r="N77" s="210"/>
      <c r="O77" s="212">
        <v>0</v>
      </c>
      <c r="P77" s="212">
        <v>20955366</v>
      </c>
      <c r="Q77" s="212">
        <v>8980872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15741289.199999999</v>
      </c>
      <c r="AC77" s="210"/>
      <c r="AD77" s="210"/>
      <c r="AE77" s="210"/>
      <c r="AF77" s="210"/>
      <c r="AG77" s="34">
        <f t="shared" si="13"/>
        <v>15741289.199999999</v>
      </c>
      <c r="AH77" s="124">
        <f t="shared" si="5"/>
        <v>14194948.800000001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>
        <v>23937124</v>
      </c>
      <c r="AW77" s="37">
        <f t="shared" si="14"/>
        <v>23937124</v>
      </c>
      <c r="AX77" s="431">
        <f t="shared" si="6"/>
        <v>-8195834.8000000007</v>
      </c>
    </row>
    <row r="78" spans="1:50" ht="15">
      <c r="A78" s="18">
        <v>45</v>
      </c>
      <c r="B78" s="52" t="s">
        <v>189</v>
      </c>
      <c r="C78" s="148"/>
      <c r="D78" s="43"/>
      <c r="E78" s="792" t="s">
        <v>172</v>
      </c>
      <c r="F78" s="721"/>
      <c r="G78" s="793"/>
      <c r="H78" s="483">
        <f t="shared" si="7"/>
        <v>0</v>
      </c>
      <c r="I78" s="155"/>
      <c r="J78" s="54"/>
      <c r="K78" s="155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34">
        <f t="shared" si="13"/>
        <v>0</v>
      </c>
      <c r="AH78" s="124">
        <f t="shared" si="5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37">
        <f t="shared" si="14"/>
        <v>0</v>
      </c>
      <c r="AX78" s="431">
        <f>+AG78-AW78</f>
        <v>0</v>
      </c>
    </row>
    <row r="79" spans="1:50" ht="15">
      <c r="A79" s="573"/>
      <c r="B79" s="568" t="s">
        <v>205</v>
      </c>
      <c r="C79" s="569" t="s">
        <v>215</v>
      </c>
      <c r="D79" s="567">
        <v>19872778</v>
      </c>
      <c r="E79" s="625">
        <f>+D79*0.7</f>
        <v>13910944.6</v>
      </c>
      <c r="F79" s="625">
        <f>+D79*0.3</f>
        <v>5961833.3999999994</v>
      </c>
      <c r="G79" s="625"/>
      <c r="H79" s="483">
        <f t="shared" si="7"/>
        <v>19872778</v>
      </c>
      <c r="I79" s="155"/>
      <c r="J79" s="54"/>
      <c r="K79" s="155"/>
      <c r="L79" s="210"/>
      <c r="M79" s="210"/>
      <c r="N79" s="210"/>
      <c r="O79" s="212"/>
      <c r="P79" s="212"/>
      <c r="Q79" s="212">
        <v>13910945</v>
      </c>
      <c r="R79" s="212">
        <v>5961833</v>
      </c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>
        <v>13910945</v>
      </c>
      <c r="AD79" s="210">
        <v>5961833</v>
      </c>
      <c r="AE79" s="210"/>
      <c r="AF79" s="210"/>
      <c r="AG79" s="34">
        <f t="shared" si="13"/>
        <v>19872778</v>
      </c>
      <c r="AH79" s="124">
        <f t="shared" si="5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37">
        <f t="shared" si="14"/>
        <v>0</v>
      </c>
      <c r="AX79" s="431">
        <f>+AG79-AW79</f>
        <v>19872778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176"/>
      <c r="H80" s="483">
        <f t="shared" si="7"/>
        <v>0</v>
      </c>
      <c r="I80" s="155"/>
      <c r="J80" s="54"/>
      <c r="K80" s="155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34">
        <f t="shared" si="13"/>
        <v>0</v>
      </c>
      <c r="AH80" s="124">
        <f t="shared" si="5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37">
        <f t="shared" si="14"/>
        <v>0</v>
      </c>
      <c r="AX80" s="431">
        <f>+AG80-AW80</f>
        <v>0</v>
      </c>
    </row>
    <row r="81" spans="1:50" ht="15">
      <c r="A81" s="621"/>
      <c r="B81" s="568" t="s">
        <v>256</v>
      </c>
      <c r="C81" s="569" t="s">
        <v>264</v>
      </c>
      <c r="D81" s="567">
        <v>5631310</v>
      </c>
      <c r="E81" s="563">
        <f>+D81</f>
        <v>5631310</v>
      </c>
      <c r="F81" s="564"/>
      <c r="G81" s="565"/>
      <c r="H81" s="483">
        <f t="shared" si="7"/>
        <v>5631310</v>
      </c>
      <c r="I81" s="155"/>
      <c r="J81" s="54"/>
      <c r="K81" s="155"/>
      <c r="L81" s="210"/>
      <c r="M81" s="210"/>
      <c r="N81" s="210"/>
      <c r="O81" s="212"/>
      <c r="P81" s="212"/>
      <c r="Q81" s="212"/>
      <c r="R81" s="212">
        <v>5631310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5631310</v>
      </c>
      <c r="AE81" s="210"/>
      <c r="AF81" s="210"/>
      <c r="AG81" s="34">
        <f t="shared" si="13"/>
        <v>5631310</v>
      </c>
      <c r="AH81" s="124">
        <f t="shared" si="5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37">
        <f t="shared" si="14"/>
        <v>0</v>
      </c>
      <c r="AX81" s="431">
        <f>+AG81-AW81</f>
        <v>5631310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483">
        <f t="shared" si="7"/>
        <v>0</v>
      </c>
      <c r="I82" s="155"/>
      <c r="J82" s="54"/>
      <c r="K82" s="155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34">
        <f t="shared" si="13"/>
        <v>0</v>
      </c>
      <c r="AH82" s="124">
        <f t="shared" si="5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37">
        <f t="shared" si="14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700190719</v>
      </c>
      <c r="E83" s="86"/>
      <c r="F83" s="87"/>
      <c r="G83" s="88"/>
      <c r="H83" s="342">
        <f t="shared" ref="H83:AG83" si="15">SUM(H34:H82)</f>
        <v>712556853</v>
      </c>
      <c r="I83" s="116">
        <f t="shared" si="15"/>
        <v>0</v>
      </c>
      <c r="J83" s="117">
        <f t="shared" si="15"/>
        <v>0</v>
      </c>
      <c r="K83" s="117">
        <f t="shared" si="15"/>
        <v>172950570.5</v>
      </c>
      <c r="L83" s="256">
        <f t="shared" si="15"/>
        <v>133134453</v>
      </c>
      <c r="M83" s="256">
        <f t="shared" si="15"/>
        <v>87204677.299999997</v>
      </c>
      <c r="N83" s="256">
        <f t="shared" si="15"/>
        <v>17881421</v>
      </c>
      <c r="O83" s="256">
        <f t="shared" si="15"/>
        <v>12595008</v>
      </c>
      <c r="P83" s="256">
        <f t="shared" si="15"/>
        <v>73248538</v>
      </c>
      <c r="Q83" s="256">
        <f t="shared" si="15"/>
        <v>36156130.399999999</v>
      </c>
      <c r="R83" s="256">
        <f t="shared" si="15"/>
        <v>124903090.7</v>
      </c>
      <c r="S83" s="256">
        <f t="shared" si="15"/>
        <v>41887956.100000001</v>
      </c>
      <c r="T83" s="256">
        <f t="shared" si="15"/>
        <v>12595008</v>
      </c>
      <c r="U83" s="241">
        <f t="shared" si="15"/>
        <v>0</v>
      </c>
      <c r="V83" s="241">
        <f t="shared" si="15"/>
        <v>0</v>
      </c>
      <c r="W83" s="241">
        <f t="shared" si="15"/>
        <v>172950570.89999998</v>
      </c>
      <c r="X83" s="241">
        <f t="shared" si="15"/>
        <v>133134453</v>
      </c>
      <c r="Y83" s="241">
        <f t="shared" si="15"/>
        <v>87204677.299999997</v>
      </c>
      <c r="Z83" s="241">
        <f t="shared" si="15"/>
        <v>0</v>
      </c>
      <c r="AA83" s="241">
        <f t="shared" si="15"/>
        <v>0</v>
      </c>
      <c r="AB83" s="241">
        <f t="shared" si="15"/>
        <v>89622152.200000003</v>
      </c>
      <c r="AC83" s="241">
        <f t="shared" si="15"/>
        <v>30108278</v>
      </c>
      <c r="AD83" s="241">
        <f t="shared" si="15"/>
        <v>91106766.700000003</v>
      </c>
      <c r="AE83" s="241">
        <f t="shared" si="15"/>
        <v>42583034</v>
      </c>
      <c r="AF83" s="241">
        <f t="shared" si="15"/>
        <v>13391383.800000001</v>
      </c>
      <c r="AG83" s="241">
        <f t="shared" si="15"/>
        <v>660101315.9000001</v>
      </c>
      <c r="AH83" s="125">
        <f>+H83-AG83</f>
        <v>52455537.099999905</v>
      </c>
      <c r="AK83" s="425">
        <f t="shared" ref="AK83:AX83" si="16">SUM(AK34:AK82)</f>
        <v>0</v>
      </c>
      <c r="AL83" s="425">
        <f t="shared" si="16"/>
        <v>0</v>
      </c>
      <c r="AM83" s="425">
        <f t="shared" si="16"/>
        <v>0</v>
      </c>
      <c r="AN83" s="425">
        <f t="shared" si="16"/>
        <v>0</v>
      </c>
      <c r="AO83" s="425">
        <f t="shared" si="16"/>
        <v>0</v>
      </c>
      <c r="AP83" s="425">
        <f t="shared" si="16"/>
        <v>0</v>
      </c>
      <c r="AQ83" s="425">
        <f t="shared" si="16"/>
        <v>55770417</v>
      </c>
      <c r="AR83" s="425">
        <f t="shared" si="16"/>
        <v>119843967</v>
      </c>
      <c r="AS83" s="425">
        <f t="shared" si="16"/>
        <v>58236743</v>
      </c>
      <c r="AT83" s="425">
        <f t="shared" si="16"/>
        <v>91485069</v>
      </c>
      <c r="AU83" s="425">
        <f t="shared" si="16"/>
        <v>32475344</v>
      </c>
      <c r="AV83" s="438">
        <f t="shared" si="16"/>
        <v>71690333</v>
      </c>
      <c r="AW83" s="451">
        <f t="shared" si="16"/>
        <v>429501873</v>
      </c>
      <c r="AX83" s="429">
        <f t="shared" si="16"/>
        <v>230599442.90000001</v>
      </c>
    </row>
    <row r="84" spans="1:50" s="376" customFormat="1" ht="15.75" thickBot="1">
      <c r="D84" s="377"/>
      <c r="E84" s="378"/>
      <c r="F84" s="378"/>
      <c r="G84" s="378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3450416</v>
      </c>
      <c r="V84" s="396">
        <v>3450417</v>
      </c>
      <c r="W84" s="395">
        <v>3450419</v>
      </c>
      <c r="X84" s="396">
        <v>3450673</v>
      </c>
      <c r="Y84" s="395">
        <v>3454855</v>
      </c>
      <c r="Z84" s="396">
        <v>3467834</v>
      </c>
      <c r="AA84" s="395">
        <v>3481339</v>
      </c>
      <c r="AB84" s="396">
        <v>3491831</v>
      </c>
      <c r="AC84" s="395">
        <v>3510168</v>
      </c>
      <c r="AD84" s="396">
        <v>3513793</v>
      </c>
      <c r="AE84" s="395"/>
      <c r="AF84" s="395"/>
      <c r="AR84" s="207"/>
      <c r="AW84" s="207"/>
    </row>
    <row r="85" spans="1:50" ht="15.75" thickBot="1">
      <c r="A85" s="761" t="s">
        <v>94</v>
      </c>
      <c r="B85" s="762"/>
      <c r="C85" s="763"/>
      <c r="D85" s="133">
        <f>+D83+D30</f>
        <v>2521418959</v>
      </c>
      <c r="E85" s="127"/>
      <c r="F85" s="128"/>
      <c r="G85" s="128"/>
      <c r="H85" s="129">
        <f>+H30</f>
        <v>2003520387.2309802</v>
      </c>
      <c r="I85" s="130">
        <f t="shared" ref="I85:AH85" si="17">+I83+I30</f>
        <v>151769020</v>
      </c>
      <c r="J85" s="130">
        <f t="shared" si="17"/>
        <v>151852136</v>
      </c>
      <c r="K85" s="130">
        <f t="shared" si="17"/>
        <v>324787669.66297996</v>
      </c>
      <c r="L85" s="215">
        <f t="shared" si="17"/>
        <v>324031862</v>
      </c>
      <c r="M85" s="215">
        <f t="shared" si="17"/>
        <v>239055307.30000001</v>
      </c>
      <c r="N85" s="215">
        <f t="shared" si="17"/>
        <v>207877320</v>
      </c>
      <c r="O85" s="215">
        <f t="shared" si="17"/>
        <v>164454660</v>
      </c>
      <c r="P85" s="215">
        <f t="shared" si="17"/>
        <v>255152613</v>
      </c>
      <c r="Q85" s="215">
        <f t="shared" si="17"/>
        <v>226270488.40000001</v>
      </c>
      <c r="R85" s="215">
        <f t="shared" si="17"/>
        <v>276549248.69999999</v>
      </c>
      <c r="S85" s="215">
        <f t="shared" si="17"/>
        <v>193534114.09999999</v>
      </c>
      <c r="T85" s="257">
        <f t="shared" si="17"/>
        <v>200742801.06799999</v>
      </c>
      <c r="U85" s="242">
        <f t="shared" si="17"/>
        <v>151769020</v>
      </c>
      <c r="V85" s="215">
        <f t="shared" si="17"/>
        <v>151852136</v>
      </c>
      <c r="W85" s="285">
        <f t="shared" si="17"/>
        <v>324787670.89999998</v>
      </c>
      <c r="X85" s="242">
        <f t="shared" si="17"/>
        <v>322552127</v>
      </c>
      <c r="Y85" s="215">
        <f t="shared" si="17"/>
        <v>237575572.30000001</v>
      </c>
      <c r="Z85" s="285">
        <f t="shared" si="17"/>
        <v>188516164</v>
      </c>
      <c r="AA85" s="242">
        <f t="shared" si="17"/>
        <v>150379917</v>
      </c>
      <c r="AB85" s="215">
        <f t="shared" si="17"/>
        <v>270046492.19999999</v>
      </c>
      <c r="AC85" s="285">
        <f t="shared" si="17"/>
        <v>218742901</v>
      </c>
      <c r="AD85" s="242">
        <f t="shared" si="17"/>
        <v>241273189.69999999</v>
      </c>
      <c r="AE85" s="215">
        <f t="shared" si="17"/>
        <v>192749457</v>
      </c>
      <c r="AF85" s="285">
        <f t="shared" si="17"/>
        <v>200059441.80000001</v>
      </c>
      <c r="AG85" s="283">
        <f t="shared" si="17"/>
        <v>2650304088.9000001</v>
      </c>
      <c r="AH85" s="132">
        <f t="shared" si="17"/>
        <v>65773151.330980062</v>
      </c>
      <c r="AR85" s="473"/>
      <c r="AS85" s="473"/>
      <c r="AW85" s="473"/>
    </row>
    <row r="87" spans="1:50" ht="15" thickBot="1">
      <c r="D87" s="1"/>
      <c r="E87" s="1"/>
      <c r="F87" s="1"/>
      <c r="G87" s="1"/>
      <c r="H87" s="170"/>
    </row>
    <row r="88" spans="1:50" ht="15.75" thickBot="1">
      <c r="A88" s="273"/>
      <c r="B88" s="758" t="s">
        <v>118</v>
      </c>
      <c r="C88" s="759"/>
      <c r="D88" s="760"/>
      <c r="H88" s="207"/>
    </row>
    <row r="89" spans="1:50">
      <c r="A89" s="274" t="s">
        <v>119</v>
      </c>
      <c r="B89" s="708" t="s">
        <v>123</v>
      </c>
      <c r="C89" s="709"/>
      <c r="D89" s="275">
        <f>+U85+V85+W85</f>
        <v>628408826.89999998</v>
      </c>
      <c r="H89" s="207"/>
    </row>
    <row r="90" spans="1:50">
      <c r="A90" s="276" t="s">
        <v>120</v>
      </c>
      <c r="B90" s="706" t="s">
        <v>124</v>
      </c>
      <c r="C90" s="707"/>
      <c r="D90" s="277">
        <f>+X85+Y85+Z85</f>
        <v>748643863.29999995</v>
      </c>
      <c r="X90" s="207">
        <v>748643863</v>
      </c>
    </row>
    <row r="91" spans="1:50">
      <c r="A91" s="276" t="s">
        <v>121</v>
      </c>
      <c r="B91" s="706" t="s">
        <v>125</v>
      </c>
      <c r="C91" s="707"/>
      <c r="D91" s="277">
        <f>+AA85+AB85+AC85</f>
        <v>639169310.20000005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634082088.5</v>
      </c>
    </row>
    <row r="93" spans="1:50" ht="15.75" customHeight="1" thickBot="1">
      <c r="A93" s="756" t="s">
        <v>117</v>
      </c>
      <c r="B93" s="757"/>
      <c r="C93" s="757"/>
      <c r="D93" s="280">
        <f>SUM(D89:D92)</f>
        <v>2650304088.8999996</v>
      </c>
    </row>
    <row r="97" spans="2:5" ht="15">
      <c r="B97" s="509" t="s">
        <v>234</v>
      </c>
      <c r="E97" s="1"/>
    </row>
    <row r="98" spans="2:5">
      <c r="B98" s="700" t="s">
        <v>246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 t="s">
        <v>74</v>
      </c>
      <c r="D102" s="6">
        <v>25190016</v>
      </c>
    </row>
    <row r="103" spans="2:5" ht="15">
      <c r="C103" s="508" t="s">
        <v>236</v>
      </c>
      <c r="D103" s="511">
        <v>3602325</v>
      </c>
    </row>
    <row r="104" spans="2:5">
      <c r="D104" s="6">
        <f>SUM(D102:D103)</f>
        <v>28792341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BA105"/>
  <sheetViews>
    <sheetView topLeftCell="A30" zoomScale="70" zoomScaleNormal="70" workbookViewId="0">
      <selection activeCell="AF44" sqref="AF44"/>
    </sheetView>
  </sheetViews>
  <sheetFormatPr baseColWidth="10" defaultRowHeight="14.25"/>
  <cols>
    <col min="1" max="1" width="4.85546875" style="1" customWidth="1"/>
    <col min="2" max="2" width="53.85546875" style="1" customWidth="1"/>
    <col min="3" max="3" width="42.140625" style="1" customWidth="1"/>
    <col min="4" max="4" width="22.7109375" style="6" customWidth="1"/>
    <col min="5" max="5" width="16.42578125" style="4" customWidth="1"/>
    <col min="6" max="6" width="15.42578125" style="4" customWidth="1"/>
    <col min="7" max="7" width="21.7109375" style="4" customWidth="1"/>
    <col min="8" max="8" width="22.5703125" style="1" customWidth="1"/>
    <col min="9" max="10" width="16.7109375" style="1" hidden="1" customWidth="1"/>
    <col min="11" max="11" width="17.42578125" style="1" hidden="1" customWidth="1"/>
    <col min="12" max="12" width="17.140625" style="207" hidden="1" customWidth="1"/>
    <col min="13" max="13" width="15.7109375" style="207" hidden="1" customWidth="1"/>
    <col min="14" max="14" width="19" style="207" hidden="1" customWidth="1"/>
    <col min="15" max="15" width="18.42578125" style="207" hidden="1" customWidth="1"/>
    <col min="16" max="16" width="17.7109375" style="207" hidden="1" customWidth="1"/>
    <col min="17" max="17" width="20" style="207" hidden="1" customWidth="1"/>
    <col min="18" max="18" width="19.5703125" style="207" hidden="1" customWidth="1"/>
    <col min="19" max="19" width="19.140625" style="207" customWidth="1"/>
    <col min="20" max="20" width="18.28515625" style="207" customWidth="1"/>
    <col min="21" max="21" width="16.85546875" style="207" hidden="1" customWidth="1"/>
    <col min="22" max="22" width="17.28515625" style="207" hidden="1" customWidth="1"/>
    <col min="23" max="23" width="18" style="207" hidden="1" customWidth="1"/>
    <col min="24" max="24" width="19.42578125" style="207" hidden="1" customWidth="1"/>
    <col min="25" max="25" width="17.7109375" style="207" hidden="1" customWidth="1"/>
    <col min="26" max="27" width="17.28515625" style="207" hidden="1" customWidth="1"/>
    <col min="28" max="28" width="17.7109375" style="207" hidden="1" customWidth="1"/>
    <col min="29" max="29" width="20.85546875" style="207" hidden="1" customWidth="1"/>
    <col min="30" max="30" width="18" style="207" hidden="1" customWidth="1"/>
    <col min="31" max="31" width="19.140625" style="207" customWidth="1"/>
    <col min="32" max="32" width="18.28515625" style="207" customWidth="1"/>
    <col min="33" max="33" width="20.42578125" style="207" customWidth="1"/>
    <col min="34" max="34" width="22.140625" style="1" customWidth="1"/>
    <col min="35" max="36" width="11.42578125" style="1" customWidth="1"/>
    <col min="37" max="37" width="13.85546875" style="1" hidden="1" customWidth="1"/>
    <col min="38" max="38" width="16.5703125" style="1" hidden="1" customWidth="1"/>
    <col min="39" max="39" width="16.7109375" style="1" hidden="1" customWidth="1"/>
    <col min="40" max="40" width="13.5703125" style="1" hidden="1" customWidth="1"/>
    <col min="41" max="42" width="13" style="1" hidden="1" customWidth="1"/>
    <col min="43" max="43" width="13.7109375" style="1" hidden="1" customWidth="1"/>
    <col min="44" max="44" width="13.42578125" style="1" hidden="1" customWidth="1"/>
    <col min="45" max="45" width="16.140625" style="1" hidden="1" customWidth="1"/>
    <col min="46" max="46" width="13.42578125" style="1" hidden="1" customWidth="1"/>
    <col min="47" max="47" width="19.14062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6" style="1" bestFit="1" customWidth="1"/>
    <col min="52" max="52" width="11.42578125" style="1"/>
    <col min="53" max="53" width="13.140625" style="1" customWidth="1"/>
    <col min="54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59</v>
      </c>
    </row>
    <row r="11" spans="1:34">
      <c r="B11" s="3" t="s">
        <v>183</v>
      </c>
    </row>
    <row r="12" spans="1:34">
      <c r="B12" s="3" t="s">
        <v>70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0" t="s">
        <v>38</v>
      </c>
      <c r="I14" s="711"/>
      <c r="J14" s="711"/>
      <c r="K14" s="711"/>
      <c r="L14" s="711"/>
      <c r="M14" s="711"/>
      <c r="N14" s="747"/>
      <c r="O14" s="713"/>
      <c r="P14" s="713"/>
      <c r="Q14" s="713"/>
      <c r="R14" s="713"/>
      <c r="S14" s="713"/>
      <c r="T14" s="714"/>
      <c r="U14" s="768" t="s">
        <v>39</v>
      </c>
      <c r="V14" s="769"/>
      <c r="W14" s="769"/>
      <c r="X14" s="769"/>
      <c r="Y14" s="769"/>
      <c r="Z14" s="769"/>
      <c r="AA14" s="769"/>
      <c r="AB14" s="769"/>
      <c r="AC14" s="769"/>
      <c r="AD14" s="769"/>
      <c r="AE14" s="769"/>
      <c r="AF14" s="769"/>
      <c r="AG14" s="770"/>
    </row>
    <row r="15" spans="1:34" ht="30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632062340*12</f>
        <v>7584748080</v>
      </c>
      <c r="E16" s="22"/>
      <c r="F16" s="23"/>
      <c r="G16" s="24"/>
      <c r="H16" s="318">
        <f>SUM(I16:T16)</f>
        <v>7584748080</v>
      </c>
      <c r="I16" s="153">
        <v>632062340</v>
      </c>
      <c r="J16" s="65">
        <v>632062340</v>
      </c>
      <c r="K16" s="65">
        <v>632062340</v>
      </c>
      <c r="L16" s="217">
        <v>632062340</v>
      </c>
      <c r="M16" s="212">
        <v>632062340</v>
      </c>
      <c r="N16" s="217">
        <v>632062340</v>
      </c>
      <c r="O16" s="212">
        <v>632062340</v>
      </c>
      <c r="P16" s="212">
        <v>632062340</v>
      </c>
      <c r="Q16" s="212">
        <v>632062340</v>
      </c>
      <c r="R16" s="212">
        <v>632062340</v>
      </c>
      <c r="S16" s="212">
        <v>632062340</v>
      </c>
      <c r="T16" s="248">
        <v>632062340</v>
      </c>
      <c r="U16" s="234">
        <v>632062340</v>
      </c>
      <c r="V16" s="217">
        <v>632062340</v>
      </c>
      <c r="W16" s="217">
        <v>632062340</v>
      </c>
      <c r="X16" s="217">
        <v>632062340</v>
      </c>
      <c r="Y16" s="209">
        <v>632062340</v>
      </c>
      <c r="Z16" s="217">
        <v>632062340</v>
      </c>
      <c r="AA16" s="209">
        <v>632062340</v>
      </c>
      <c r="AB16" s="209">
        <v>632062340</v>
      </c>
      <c r="AC16" s="209">
        <v>632062340</v>
      </c>
      <c r="AD16" s="209">
        <v>632062340</v>
      </c>
      <c r="AE16" s="209">
        <v>632062340</v>
      </c>
      <c r="AF16" s="225">
        <v>632062340</v>
      </c>
      <c r="AG16" s="226">
        <f>SUM(U16:AF16)</f>
        <v>7584748080</v>
      </c>
      <c r="AH16" s="123">
        <f t="shared" ref="AH16:AH30" si="0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>
        <f>4940200*12</f>
        <v>59282400</v>
      </c>
      <c r="E17" s="15"/>
      <c r="F17" s="14"/>
      <c r="G17" s="16"/>
      <c r="H17" s="319">
        <f>SUM(I17:T17)</f>
        <v>59282400</v>
      </c>
      <c r="I17" s="154">
        <v>4940200</v>
      </c>
      <c r="J17" s="65">
        <v>4940200</v>
      </c>
      <c r="K17" s="65">
        <v>4940200</v>
      </c>
      <c r="L17" s="217">
        <v>4940200</v>
      </c>
      <c r="M17" s="206">
        <v>4940200</v>
      </c>
      <c r="N17" s="217">
        <v>4940200</v>
      </c>
      <c r="O17" s="206">
        <v>4940200</v>
      </c>
      <c r="P17" s="206">
        <v>4940200</v>
      </c>
      <c r="Q17" s="206">
        <v>4940200</v>
      </c>
      <c r="R17" s="206">
        <v>4940200</v>
      </c>
      <c r="S17" s="206">
        <v>4940200</v>
      </c>
      <c r="T17" s="227">
        <v>4940200</v>
      </c>
      <c r="U17" s="235">
        <v>4940200</v>
      </c>
      <c r="V17" s="217">
        <v>4940200</v>
      </c>
      <c r="W17" s="217">
        <v>4940200</v>
      </c>
      <c r="X17" s="217">
        <v>4940200</v>
      </c>
      <c r="Y17" s="206">
        <v>4940200</v>
      </c>
      <c r="Z17" s="217">
        <v>4940200</v>
      </c>
      <c r="AA17" s="206">
        <v>4940200</v>
      </c>
      <c r="AB17" s="206">
        <v>4940200</v>
      </c>
      <c r="AC17" s="206">
        <v>4940200</v>
      </c>
      <c r="AD17" s="206">
        <v>4940200</v>
      </c>
      <c r="AE17" s="206">
        <v>4940200</v>
      </c>
      <c r="AF17" s="227">
        <v>4940200</v>
      </c>
      <c r="AG17" s="228">
        <f t="shared" ref="AG17:AG28" si="1">SUM(U17:AF17)</f>
        <v>59282400</v>
      </c>
      <c r="AH17" s="124">
        <f t="shared" si="0"/>
        <v>0</v>
      </c>
    </row>
    <row r="18" spans="1:48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65">
        <v>0</v>
      </c>
      <c r="K18" s="9"/>
      <c r="L18" s="217">
        <v>0</v>
      </c>
      <c r="M18" s="206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>
        <v>0</v>
      </c>
      <c r="U18" s="235">
        <v>0</v>
      </c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>
        <v>0</v>
      </c>
      <c r="AG18" s="228">
        <f t="shared" si="1"/>
        <v>0</v>
      </c>
      <c r="AH18" s="124">
        <f t="shared" si="0"/>
        <v>0</v>
      </c>
    </row>
    <row r="19" spans="1:48" s="207" customFormat="1" ht="15">
      <c r="A19" s="528">
        <v>4</v>
      </c>
      <c r="B19" s="206" t="s">
        <v>30</v>
      </c>
      <c r="C19" s="529" t="s">
        <v>29</v>
      </c>
      <c r="D19" s="227">
        <f>-3263452*12</f>
        <v>-39161424</v>
      </c>
      <c r="E19" s="171"/>
      <c r="F19" s="172"/>
      <c r="G19" s="343"/>
      <c r="H19" s="324">
        <f t="shared" si="2"/>
        <v>-41306625</v>
      </c>
      <c r="I19" s="252">
        <v>-3263452</v>
      </c>
      <c r="J19" s="217">
        <v>-3263452</v>
      </c>
      <c r="K19" s="217">
        <v>-3263452</v>
      </c>
      <c r="L19" s="217">
        <v>-3263452</v>
      </c>
      <c r="M19" s="206">
        <v>-3263452</v>
      </c>
      <c r="N19" s="217">
        <v>-3263452</v>
      </c>
      <c r="O19" s="206">
        <v>-3263452</v>
      </c>
      <c r="P19" s="206">
        <v>-3263452</v>
      </c>
      <c r="Q19" s="206">
        <v>-3263452</v>
      </c>
      <c r="R19" s="206">
        <v>-3978519</v>
      </c>
      <c r="S19" s="206">
        <v>-3978519</v>
      </c>
      <c r="T19" s="227">
        <v>-3978519</v>
      </c>
      <c r="U19" s="235">
        <v>-3263452</v>
      </c>
      <c r="V19" s="217">
        <v>-3263452</v>
      </c>
      <c r="W19" s="217">
        <v>-3263452</v>
      </c>
      <c r="X19" s="217">
        <v>-3263452</v>
      </c>
      <c r="Y19" s="206">
        <v>-3263452</v>
      </c>
      <c r="Z19" s="217">
        <v>-3263452</v>
      </c>
      <c r="AA19" s="206">
        <v>-3263452</v>
      </c>
      <c r="AB19" s="206">
        <v>-3263452</v>
      </c>
      <c r="AC19" s="206">
        <v>-3263452</v>
      </c>
      <c r="AD19" s="206">
        <v>-3978519</v>
      </c>
      <c r="AE19" s="206">
        <v>-3978519</v>
      </c>
      <c r="AF19" s="227">
        <v>-3978519</v>
      </c>
      <c r="AG19" s="228">
        <f t="shared" si="1"/>
        <v>-41306625</v>
      </c>
      <c r="AH19" s="260">
        <f t="shared" si="0"/>
        <v>0</v>
      </c>
    </row>
    <row r="20" spans="1:48" ht="29.25">
      <c r="A20" s="11">
        <v>5</v>
      </c>
      <c r="B20" s="10" t="s">
        <v>31</v>
      </c>
      <c r="C20" s="147" t="s">
        <v>29</v>
      </c>
      <c r="D20" s="13">
        <f>1845102*12</f>
        <v>22141224</v>
      </c>
      <c r="E20" s="15"/>
      <c r="F20" s="14"/>
      <c r="G20" s="16"/>
      <c r="H20" s="319">
        <f t="shared" si="2"/>
        <v>23237326.632000003</v>
      </c>
      <c r="I20" s="154">
        <v>1845102</v>
      </c>
      <c r="J20" s="65">
        <v>1845102</v>
      </c>
      <c r="K20" s="65">
        <v>1845102</v>
      </c>
      <c r="L20" s="217">
        <v>1845102</v>
      </c>
      <c r="M20" s="206">
        <v>1845102</v>
      </c>
      <c r="N20" s="65">
        <v>1845102</v>
      </c>
      <c r="O20" s="206">
        <v>1845102</v>
      </c>
      <c r="P20" s="206">
        <v>1845102</v>
      </c>
      <c r="Q20" s="206">
        <v>1845102</v>
      </c>
      <c r="R20" s="206">
        <v>1845102</v>
      </c>
      <c r="S20" s="206">
        <v>1845102</v>
      </c>
      <c r="T20" s="227">
        <v>2941204.6320000021</v>
      </c>
      <c r="U20" s="235">
        <v>1845102</v>
      </c>
      <c r="V20" s="217">
        <v>1845102</v>
      </c>
      <c r="W20" s="217">
        <v>1845102</v>
      </c>
      <c r="X20" s="65">
        <v>1845102</v>
      </c>
      <c r="Y20" s="206">
        <v>1845102</v>
      </c>
      <c r="Z20" s="65">
        <v>1845102</v>
      </c>
      <c r="AA20" s="206">
        <v>1845102</v>
      </c>
      <c r="AB20" s="206">
        <v>1845102</v>
      </c>
      <c r="AC20" s="206">
        <v>1845102</v>
      </c>
      <c r="AD20" s="206">
        <v>1845102</v>
      </c>
      <c r="AE20" s="206">
        <v>1845102</v>
      </c>
      <c r="AF20" s="227">
        <v>2941204.6320000021</v>
      </c>
      <c r="AG20" s="228">
        <f t="shared" si="1"/>
        <v>23237326.632000003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804035*12</f>
        <v>9648420</v>
      </c>
      <c r="E21" s="15"/>
      <c r="F21" s="14"/>
      <c r="G21" s="16"/>
      <c r="H21" s="319">
        <f t="shared" si="2"/>
        <v>10769095.43</v>
      </c>
      <c r="I21" s="154">
        <v>804035</v>
      </c>
      <c r="J21" s="65">
        <v>849066</v>
      </c>
      <c r="K21" s="65">
        <v>1001087.4300000002</v>
      </c>
      <c r="L21" s="217">
        <v>885576</v>
      </c>
      <c r="M21" s="206">
        <v>894597</v>
      </c>
      <c r="N21" s="65">
        <v>890087</v>
      </c>
      <c r="O21" s="206">
        <v>890087</v>
      </c>
      <c r="P21" s="206">
        <v>890087</v>
      </c>
      <c r="Q21" s="206">
        <v>890087</v>
      </c>
      <c r="R21" s="206">
        <v>890087</v>
      </c>
      <c r="S21" s="206">
        <v>890087</v>
      </c>
      <c r="T21" s="227">
        <v>994212</v>
      </c>
      <c r="U21" s="235">
        <v>804035</v>
      </c>
      <c r="V21" s="217">
        <v>849066</v>
      </c>
      <c r="W21" s="217">
        <v>1001087</v>
      </c>
      <c r="X21" s="65">
        <v>885576</v>
      </c>
      <c r="Y21" s="206">
        <v>894597</v>
      </c>
      <c r="Z21" s="65">
        <v>890087</v>
      </c>
      <c r="AA21" s="206">
        <v>890087</v>
      </c>
      <c r="AB21" s="206">
        <v>890087</v>
      </c>
      <c r="AC21" s="206">
        <v>890087</v>
      </c>
      <c r="AD21" s="206">
        <v>890087</v>
      </c>
      <c r="AE21" s="206">
        <v>890087</v>
      </c>
      <c r="AF21" s="227">
        <v>994212</v>
      </c>
      <c r="AG21" s="228">
        <f t="shared" si="1"/>
        <v>10769095</v>
      </c>
      <c r="AH21" s="124">
        <f t="shared" si="0"/>
        <v>0.42999999970197678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404021802</v>
      </c>
      <c r="I22" s="154"/>
      <c r="J22" s="65"/>
      <c r="K22" s="65"/>
      <c r="L22" s="217">
        <v>99565526</v>
      </c>
      <c r="M22" s="206">
        <v>0</v>
      </c>
      <c r="N22" s="65">
        <v>100272129</v>
      </c>
      <c r="O22" s="206"/>
      <c r="P22" s="206"/>
      <c r="Q22" s="206">
        <v>101730225</v>
      </c>
      <c r="R22" s="206"/>
      <c r="S22" s="206"/>
      <c r="T22" s="227">
        <v>102453922</v>
      </c>
      <c r="U22" s="235"/>
      <c r="V22" s="217"/>
      <c r="W22" s="217"/>
      <c r="X22" s="65">
        <v>99565526</v>
      </c>
      <c r="Y22" s="206"/>
      <c r="Z22" s="65">
        <v>100272129</v>
      </c>
      <c r="AA22" s="206"/>
      <c r="AB22" s="206"/>
      <c r="AC22" s="206">
        <v>101730225</v>
      </c>
      <c r="AD22" s="206"/>
      <c r="AE22" s="206"/>
      <c r="AF22" s="227">
        <v>102453922</v>
      </c>
      <c r="AG22" s="228">
        <f>SUM(U22:AF22)</f>
        <v>404021802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466787126</v>
      </c>
      <c r="I23" s="154"/>
      <c r="J23" s="65"/>
      <c r="K23" s="65"/>
      <c r="L23" s="217">
        <v>115031991</v>
      </c>
      <c r="M23" s="206"/>
      <c r="N23" s="65">
        <v>115848345</v>
      </c>
      <c r="O23" s="206"/>
      <c r="P23" s="206"/>
      <c r="Q23" s="206">
        <v>117533943</v>
      </c>
      <c r="R23" s="206"/>
      <c r="S23" s="206"/>
      <c r="T23" s="227">
        <v>118372847</v>
      </c>
      <c r="U23" s="235"/>
      <c r="V23" s="217"/>
      <c r="W23" s="217"/>
      <c r="X23" s="65">
        <v>115031991</v>
      </c>
      <c r="Y23" s="206"/>
      <c r="Z23" s="65">
        <v>115848345</v>
      </c>
      <c r="AA23" s="206"/>
      <c r="AB23" s="206"/>
      <c r="AC23" s="206">
        <v>117533943</v>
      </c>
      <c r="AD23" s="206"/>
      <c r="AE23" s="206"/>
      <c r="AF23" s="227">
        <v>118372847</v>
      </c>
      <c r="AG23" s="228">
        <f>SUM(U23:AF23)</f>
        <v>466787126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2520078*12</f>
        <v>30240936</v>
      </c>
      <c r="E24" s="15"/>
      <c r="F24" s="14"/>
      <c r="G24" s="16"/>
      <c r="H24" s="319">
        <f t="shared" si="2"/>
        <v>30240936</v>
      </c>
      <c r="I24" s="154">
        <v>2520078</v>
      </c>
      <c r="J24" s="65">
        <v>2520078</v>
      </c>
      <c r="K24" s="65">
        <v>2520078</v>
      </c>
      <c r="L24" s="217">
        <v>2520078</v>
      </c>
      <c r="M24" s="206">
        <v>2520078</v>
      </c>
      <c r="N24" s="65">
        <v>2520078</v>
      </c>
      <c r="O24" s="206">
        <v>2520078</v>
      </c>
      <c r="P24" s="206">
        <v>2520078</v>
      </c>
      <c r="Q24" s="206">
        <v>2520078</v>
      </c>
      <c r="R24" s="206">
        <v>2520078</v>
      </c>
      <c r="S24" s="206">
        <v>2520078</v>
      </c>
      <c r="T24" s="227">
        <v>2520078</v>
      </c>
      <c r="U24" s="235">
        <v>2520078</v>
      </c>
      <c r="V24" s="217">
        <v>2520078</v>
      </c>
      <c r="W24" s="217">
        <v>2520078</v>
      </c>
      <c r="X24" s="65">
        <v>2520078</v>
      </c>
      <c r="Y24" s="206">
        <v>2520078</v>
      </c>
      <c r="Z24" s="65">
        <v>2520078</v>
      </c>
      <c r="AA24" s="206">
        <v>2520078</v>
      </c>
      <c r="AB24" s="206">
        <v>2520078</v>
      </c>
      <c r="AC24" s="206">
        <v>2520078</v>
      </c>
      <c r="AD24" s="206">
        <v>2520078</v>
      </c>
      <c r="AE24" s="206">
        <v>2520078</v>
      </c>
      <c r="AF24" s="227">
        <v>2520078</v>
      </c>
      <c r="AG24" s="228">
        <f t="shared" si="1"/>
        <v>30240936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>
        <f>2618761*12</f>
        <v>31425132</v>
      </c>
      <c r="E25" s="15"/>
      <c r="F25" s="14"/>
      <c r="G25" s="16"/>
      <c r="H25" s="319">
        <f t="shared" si="2"/>
        <v>31425132.206239998</v>
      </c>
      <c r="I25" s="154">
        <v>2618761</v>
      </c>
      <c r="J25" s="65">
        <v>2618761</v>
      </c>
      <c r="K25" s="65">
        <v>2618761.2062399997</v>
      </c>
      <c r="L25" s="217">
        <v>2618761</v>
      </c>
      <c r="M25" s="206">
        <v>2618761</v>
      </c>
      <c r="N25" s="65">
        <v>2618761</v>
      </c>
      <c r="O25" s="206">
        <v>2618761</v>
      </c>
      <c r="P25" s="206">
        <v>2618761</v>
      </c>
      <c r="Q25" s="206">
        <v>2618761</v>
      </c>
      <c r="R25" s="206">
        <v>2618761</v>
      </c>
      <c r="S25" s="206">
        <v>2618761</v>
      </c>
      <c r="T25" s="227">
        <v>2618761</v>
      </c>
      <c r="U25" s="235">
        <v>2618761</v>
      </c>
      <c r="V25" s="217">
        <v>2618761</v>
      </c>
      <c r="W25" s="217">
        <v>2618761</v>
      </c>
      <c r="X25" s="65">
        <v>2618761</v>
      </c>
      <c r="Y25" s="206">
        <v>2618761</v>
      </c>
      <c r="Z25" s="65">
        <v>2618761</v>
      </c>
      <c r="AA25" s="206">
        <v>2618761</v>
      </c>
      <c r="AB25" s="206">
        <v>2618761</v>
      </c>
      <c r="AC25" s="206">
        <v>2618761</v>
      </c>
      <c r="AD25" s="206">
        <v>2618761</v>
      </c>
      <c r="AE25" s="206">
        <v>2618761</v>
      </c>
      <c r="AF25" s="227">
        <v>2618761</v>
      </c>
      <c r="AG25" s="228">
        <f t="shared" si="1"/>
        <v>31425132</v>
      </c>
      <c r="AH25" s="124">
        <f t="shared" si="0"/>
        <v>0.20623999834060669</v>
      </c>
      <c r="AM25" s="149"/>
    </row>
    <row r="26" spans="1:48" ht="15">
      <c r="A26" s="51">
        <v>9</v>
      </c>
      <c r="B26" s="52" t="s">
        <v>34</v>
      </c>
      <c r="C26" s="148" t="s">
        <v>29</v>
      </c>
      <c r="D26" s="13">
        <f>598557*12</f>
        <v>7182684</v>
      </c>
      <c r="E26" s="15"/>
      <c r="F26" s="14"/>
      <c r="G26" s="16"/>
      <c r="H26" s="319">
        <f t="shared" si="2"/>
        <v>7182684</v>
      </c>
      <c r="I26" s="154">
        <v>598557</v>
      </c>
      <c r="J26" s="65">
        <v>598557</v>
      </c>
      <c r="K26" s="65">
        <v>598557</v>
      </c>
      <c r="L26" s="217">
        <v>598557</v>
      </c>
      <c r="M26" s="206">
        <v>598557</v>
      </c>
      <c r="N26" s="65">
        <v>598557</v>
      </c>
      <c r="O26" s="206">
        <v>598557</v>
      </c>
      <c r="P26" s="206">
        <v>598557</v>
      </c>
      <c r="Q26" s="206">
        <v>598557</v>
      </c>
      <c r="R26" s="206">
        <v>598557</v>
      </c>
      <c r="S26" s="206">
        <v>598557</v>
      </c>
      <c r="T26" s="227">
        <v>598557</v>
      </c>
      <c r="U26" s="235">
        <v>598557</v>
      </c>
      <c r="V26" s="217">
        <v>598557</v>
      </c>
      <c r="W26" s="217">
        <v>598557</v>
      </c>
      <c r="X26" s="65">
        <v>598557</v>
      </c>
      <c r="Y26" s="206">
        <v>598557</v>
      </c>
      <c r="Z26" s="65">
        <v>598557</v>
      </c>
      <c r="AA26" s="206">
        <v>598557</v>
      </c>
      <c r="AB26" s="206">
        <v>598557</v>
      </c>
      <c r="AC26" s="206">
        <v>598557</v>
      </c>
      <c r="AD26" s="206">
        <v>598557</v>
      </c>
      <c r="AE26" s="206">
        <v>598557</v>
      </c>
      <c r="AF26" s="227">
        <v>598557</v>
      </c>
      <c r="AG26" s="228">
        <f t="shared" si="1"/>
        <v>7182684</v>
      </c>
      <c r="AH26" s="124">
        <f t="shared" si="0"/>
        <v>0</v>
      </c>
      <c r="AL26" s="149"/>
      <c r="AM26" s="149"/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51484784</v>
      </c>
      <c r="I27" s="154"/>
      <c r="J27" s="65"/>
      <c r="K27" s="65"/>
      <c r="L27" s="217"/>
      <c r="M27" s="206"/>
      <c r="N27" s="65"/>
      <c r="O27" s="206"/>
      <c r="P27" s="206">
        <v>51484784</v>
      </c>
      <c r="Q27" s="206"/>
      <c r="R27" s="206"/>
      <c r="S27" s="206"/>
      <c r="T27" s="227"/>
      <c r="U27" s="235"/>
      <c r="V27" s="217"/>
      <c r="W27" s="217"/>
      <c r="X27" s="65"/>
      <c r="Y27" s="206"/>
      <c r="Z27" s="65"/>
      <c r="AA27" s="206"/>
      <c r="AB27" s="206">
        <v>51484784</v>
      </c>
      <c r="AC27" s="206"/>
      <c r="AD27" s="206"/>
      <c r="AE27" s="206"/>
      <c r="AF27" s="227"/>
      <c r="AG27" s="228">
        <f t="shared" si="1"/>
        <v>51484784</v>
      </c>
      <c r="AH27" s="124">
        <f t="shared" si="0"/>
        <v>0</v>
      </c>
      <c r="AL27" s="149"/>
      <c r="AM27" s="149"/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54154843</v>
      </c>
      <c r="I28" s="154"/>
      <c r="J28" s="65"/>
      <c r="K28" s="65"/>
      <c r="L28" s="217"/>
      <c r="M28" s="206"/>
      <c r="N28" s="65"/>
      <c r="O28" s="206"/>
      <c r="P28" s="206">
        <v>54154843</v>
      </c>
      <c r="Q28" s="206"/>
      <c r="R28" s="206"/>
      <c r="S28" s="206"/>
      <c r="T28" s="227"/>
      <c r="U28" s="235"/>
      <c r="V28" s="217"/>
      <c r="W28" s="217"/>
      <c r="X28" s="65"/>
      <c r="Y28" s="206"/>
      <c r="Z28" s="65"/>
      <c r="AA28" s="206"/>
      <c r="AB28" s="206">
        <v>54154843</v>
      </c>
      <c r="AC28" s="206"/>
      <c r="AD28" s="206"/>
      <c r="AE28" s="206"/>
      <c r="AF28" s="227"/>
      <c r="AG28" s="228">
        <f t="shared" si="1"/>
        <v>54154843</v>
      </c>
      <c r="AH28" s="124">
        <f t="shared" si="0"/>
        <v>0</v>
      </c>
      <c r="AL28" s="149"/>
      <c r="AM28" s="149"/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19">
        <f t="shared" si="2"/>
        <v>107120392.81994608</v>
      </c>
      <c r="I29" s="154"/>
      <c r="J29" s="65"/>
      <c r="K29" s="65"/>
      <c r="L29" s="217"/>
      <c r="M29" s="206"/>
      <c r="N29" s="65"/>
      <c r="O29" s="206"/>
      <c r="P29" s="206"/>
      <c r="Q29" s="206"/>
      <c r="R29" s="206"/>
      <c r="S29" s="206">
        <v>107120392.81994608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206"/>
      <c r="AD29" s="206"/>
      <c r="AE29" s="206">
        <v>107120392.81994608</v>
      </c>
      <c r="AF29" s="227"/>
      <c r="AG29" s="228">
        <f>SUM(U29:AF29)</f>
        <v>107120392.81994608</v>
      </c>
      <c r="AH29" s="124">
        <f>+H29-AG29</f>
        <v>0</v>
      </c>
      <c r="AL29" s="149"/>
      <c r="AM29" s="149"/>
    </row>
    <row r="30" spans="1:48" ht="15.75" thickBot="1">
      <c r="A30" s="794" t="s">
        <v>36</v>
      </c>
      <c r="B30" s="795"/>
      <c r="C30" s="94"/>
      <c r="D30" s="95">
        <f>SUM(D16:D26)</f>
        <v>7705507452</v>
      </c>
      <c r="E30" s="96"/>
      <c r="F30" s="97"/>
      <c r="G30" s="98"/>
      <c r="H30" s="325">
        <f>SUM(H16:H28)</f>
        <v>8682027584.26824</v>
      </c>
      <c r="I30" s="314">
        <f>SUM(I16:I28)</f>
        <v>642125621</v>
      </c>
      <c r="J30" s="314">
        <f t="shared" ref="J30:O30" si="3">SUM(J16:J28)</f>
        <v>642170652</v>
      </c>
      <c r="K30" s="314">
        <f t="shared" si="3"/>
        <v>642322673.63624001</v>
      </c>
      <c r="L30" s="314">
        <f t="shared" si="3"/>
        <v>856804679</v>
      </c>
      <c r="M30" s="314">
        <f t="shared" si="3"/>
        <v>642216183</v>
      </c>
      <c r="N30" s="314">
        <f t="shared" si="3"/>
        <v>858332147</v>
      </c>
      <c r="O30" s="314">
        <f t="shared" si="3"/>
        <v>642211673</v>
      </c>
      <c r="P30" s="313">
        <f t="shared" ref="P30:AF30" si="4">SUM(P16:P28)</f>
        <v>747851300</v>
      </c>
      <c r="Q30" s="314">
        <f t="shared" si="4"/>
        <v>861475841</v>
      </c>
      <c r="R30" s="314">
        <f t="shared" si="4"/>
        <v>641496606</v>
      </c>
      <c r="S30" s="314">
        <f t="shared" si="4"/>
        <v>641496606</v>
      </c>
      <c r="T30" s="314">
        <f t="shared" si="4"/>
        <v>863523602.63199997</v>
      </c>
      <c r="U30" s="245">
        <f t="shared" si="4"/>
        <v>642125621</v>
      </c>
      <c r="V30" s="245">
        <f t="shared" si="4"/>
        <v>642170652</v>
      </c>
      <c r="W30" s="245">
        <f t="shared" si="4"/>
        <v>642322673</v>
      </c>
      <c r="X30" s="245">
        <f t="shared" si="4"/>
        <v>856804679</v>
      </c>
      <c r="Y30" s="245">
        <f t="shared" si="4"/>
        <v>642216183</v>
      </c>
      <c r="Z30" s="245">
        <f t="shared" si="4"/>
        <v>858332147</v>
      </c>
      <c r="AA30" s="245">
        <f t="shared" si="4"/>
        <v>642211673</v>
      </c>
      <c r="AB30" s="245">
        <f t="shared" si="4"/>
        <v>747851300</v>
      </c>
      <c r="AC30" s="245">
        <f t="shared" si="4"/>
        <v>861475841</v>
      </c>
      <c r="AD30" s="245">
        <f t="shared" si="4"/>
        <v>641496606</v>
      </c>
      <c r="AE30" s="245">
        <f t="shared" si="4"/>
        <v>641496606</v>
      </c>
      <c r="AF30" s="245">
        <f t="shared" si="4"/>
        <v>863523602.63199997</v>
      </c>
      <c r="AG30" s="337">
        <f>SUM(U30:AF30)</f>
        <v>8682027583.632</v>
      </c>
      <c r="AH30" s="120">
        <f t="shared" si="0"/>
        <v>0.63624000549316406</v>
      </c>
      <c r="AK30" s="469"/>
      <c r="AL30" s="469"/>
      <c r="AM30" s="470"/>
      <c r="AN30" s="469"/>
      <c r="AO30" s="469"/>
    </row>
    <row r="31" spans="1:48" ht="15" thickBot="1">
      <c r="D31" s="65">
        <v>30901941</v>
      </c>
      <c r="E31" s="5">
        <v>0.7</v>
      </c>
      <c r="F31" s="5">
        <v>0.3</v>
      </c>
      <c r="G31" s="5">
        <v>8.3333333333333329E-2</v>
      </c>
      <c r="H31" s="149">
        <f>100%/3</f>
        <v>0.33333333333333331</v>
      </c>
      <c r="AM31" s="149"/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0" t="s">
        <v>38</v>
      </c>
      <c r="I32" s="711"/>
      <c r="J32" s="711"/>
      <c r="K32" s="711"/>
      <c r="L32" s="711"/>
      <c r="M32" s="711"/>
      <c r="N32" s="712"/>
      <c r="O32" s="713"/>
      <c r="P32" s="713"/>
      <c r="Q32" s="713"/>
      <c r="R32" s="713"/>
      <c r="S32" s="713"/>
      <c r="T32" s="714"/>
      <c r="U32" s="768" t="s">
        <v>39</v>
      </c>
      <c r="V32" s="769"/>
      <c r="W32" s="769"/>
      <c r="X32" s="769"/>
      <c r="Y32" s="769"/>
      <c r="Z32" s="769"/>
      <c r="AA32" s="769"/>
      <c r="AB32" s="769"/>
      <c r="AC32" s="769"/>
      <c r="AD32" s="769"/>
      <c r="AE32" s="769"/>
      <c r="AF32" s="769"/>
      <c r="AG32" s="770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3" ht="30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74" t="s">
        <v>13</v>
      </c>
      <c r="K33" s="74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  <c r="AY33" s="207">
        <v>1587230</v>
      </c>
    </row>
    <row r="34" spans="1:53" ht="15.75" thickBot="1">
      <c r="A34" s="573">
        <v>1</v>
      </c>
      <c r="B34" s="608" t="s">
        <v>99</v>
      </c>
      <c r="C34" s="615">
        <v>1391</v>
      </c>
      <c r="D34" s="610">
        <v>1526253</v>
      </c>
      <c r="E34" s="611">
        <f>+D34*$E$31</f>
        <v>1068377.0999999999</v>
      </c>
      <c r="F34" s="612">
        <f>+D34*$F$31</f>
        <v>457875.89999999997</v>
      </c>
      <c r="G34" s="613"/>
      <c r="H34" s="327">
        <f>SUM(I34:T34)</f>
        <v>1526252.9999999998</v>
      </c>
      <c r="I34" s="268"/>
      <c r="J34" s="156"/>
      <c r="K34" s="153">
        <v>1068377.0999999999</v>
      </c>
      <c r="L34" s="212"/>
      <c r="M34" s="212"/>
      <c r="N34" s="212"/>
      <c r="O34" s="212"/>
      <c r="P34" s="212"/>
      <c r="Q34" s="212"/>
      <c r="R34" s="212">
        <v>457875.89999999997</v>
      </c>
      <c r="S34" s="212"/>
      <c r="T34" s="248"/>
      <c r="U34" s="234"/>
      <c r="V34" s="220"/>
      <c r="W34" s="209">
        <v>1068377.0999999999</v>
      </c>
      <c r="X34" s="209"/>
      <c r="Y34" s="209"/>
      <c r="Z34" s="209"/>
      <c r="AA34" s="209"/>
      <c r="AB34" s="209"/>
      <c r="AC34" s="209"/>
      <c r="AD34" s="209">
        <v>457875.89999999997</v>
      </c>
      <c r="AE34" s="209"/>
      <c r="AF34" s="209"/>
      <c r="AG34" s="218">
        <f>SUM(U34:AF34)</f>
        <v>1526252.9999999998</v>
      </c>
      <c r="AH34" s="123">
        <f t="shared" ref="AH34:AH81" si="5">+H34-AG34</f>
        <v>0</v>
      </c>
      <c r="AK34" s="209"/>
      <c r="AL34" s="209"/>
      <c r="AM34" s="209"/>
      <c r="AN34" s="209">
        <v>65404.24124310464</v>
      </c>
      <c r="AO34" s="209">
        <v>32702.12062155232</v>
      </c>
      <c r="AP34" s="209">
        <v>65404.15737124427</v>
      </c>
      <c r="AQ34" s="209">
        <v>32702.078685622128</v>
      </c>
      <c r="AR34" s="209">
        <v>32702.078685622128</v>
      </c>
      <c r="AS34" s="209"/>
      <c r="AT34" s="209">
        <v>65404.15737124427</v>
      </c>
      <c r="AU34" s="209">
        <v>33280.983233862593</v>
      </c>
      <c r="AV34" s="225">
        <v>33280.983233862593</v>
      </c>
      <c r="AW34" s="226">
        <f>SUM(AK34:AV34)</f>
        <v>360880.80044611503</v>
      </c>
      <c r="AX34" s="123">
        <f>+AG34-AW34</f>
        <v>1165372.1995538848</v>
      </c>
      <c r="AY34" s="170">
        <f>+AX34+AX35</f>
        <v>55578698</v>
      </c>
      <c r="AZ34" s="149">
        <v>1</v>
      </c>
    </row>
    <row r="35" spans="1:53" ht="15">
      <c r="A35" s="573">
        <v>2</v>
      </c>
      <c r="B35" s="608" t="s">
        <v>100</v>
      </c>
      <c r="C35" s="615">
        <v>1391</v>
      </c>
      <c r="D35" s="610">
        <v>71263500</v>
      </c>
      <c r="E35" s="583">
        <f>+D35*$E$31</f>
        <v>49884450</v>
      </c>
      <c r="F35" s="584">
        <f>+D35*$F$31</f>
        <v>21379050</v>
      </c>
      <c r="G35" s="614"/>
      <c r="H35" s="319">
        <f>SUM(I35:T35)</f>
        <v>71263500</v>
      </c>
      <c r="I35" s="153"/>
      <c r="J35" s="157"/>
      <c r="K35" s="153">
        <v>49884450</v>
      </c>
      <c r="L35" s="212"/>
      <c r="M35" s="212"/>
      <c r="N35" s="212"/>
      <c r="O35" s="212"/>
      <c r="P35" s="212"/>
      <c r="Q35" s="212"/>
      <c r="R35" s="212">
        <v>21379050</v>
      </c>
      <c r="S35" s="212"/>
      <c r="T35" s="248"/>
      <c r="U35" s="237"/>
      <c r="V35" s="217"/>
      <c r="W35" s="212">
        <v>49884450</v>
      </c>
      <c r="X35" s="212"/>
      <c r="Y35" s="212"/>
      <c r="Z35" s="212"/>
      <c r="AA35" s="212"/>
      <c r="AB35" s="212"/>
      <c r="AC35" s="212"/>
      <c r="AD35" s="212">
        <v>21379050</v>
      </c>
      <c r="AE35" s="212"/>
      <c r="AF35" s="212"/>
      <c r="AG35" s="218">
        <f>SUM(U35:AF35)</f>
        <v>71263500</v>
      </c>
      <c r="AH35" s="123">
        <f t="shared" si="5"/>
        <v>0</v>
      </c>
      <c r="AK35" s="212"/>
      <c r="AL35" s="212"/>
      <c r="AM35" s="212"/>
      <c r="AN35" s="212">
        <v>3053841.7587568951</v>
      </c>
      <c r="AO35" s="212">
        <v>1526920.8793784478</v>
      </c>
      <c r="AP35" s="212">
        <v>3053837.8426287556</v>
      </c>
      <c r="AQ35" s="212">
        <v>1526918.9213143778</v>
      </c>
      <c r="AR35" s="212">
        <v>1526918.9213143778</v>
      </c>
      <c r="AS35" s="212"/>
      <c r="AT35" s="212">
        <v>3053837.8426287556</v>
      </c>
      <c r="AU35" s="212">
        <v>1553949.0167661374</v>
      </c>
      <c r="AV35" s="248">
        <v>1553949.0167661374</v>
      </c>
      <c r="AW35" s="226">
        <f>SUM(AK35:AV35)</f>
        <v>16850174.199553885</v>
      </c>
      <c r="AX35" s="431">
        <f t="shared" ref="AX35:AX77" si="6">+AG35-AW35</f>
        <v>54413325.800446115</v>
      </c>
      <c r="AY35" s="207"/>
      <c r="AZ35" s="149">
        <f>+(AX34*AZ34)/AY34</f>
        <v>2.0967965092559111E-2</v>
      </c>
      <c r="BA35" s="207">
        <f>+AY33*AZ35</f>
        <v>33280.9832338626</v>
      </c>
    </row>
    <row r="36" spans="1:53" ht="15">
      <c r="A36" s="573">
        <v>3</v>
      </c>
      <c r="B36" s="575" t="s">
        <v>74</v>
      </c>
      <c r="C36" s="576">
        <v>2309</v>
      </c>
      <c r="D36" s="577">
        <v>232247606</v>
      </c>
      <c r="E36" s="578">
        <f>+D36*G31</f>
        <v>19353967.166666664</v>
      </c>
      <c r="F36" s="579">
        <f>+D36*G31</f>
        <v>19353967.166666664</v>
      </c>
      <c r="G36" s="580">
        <f>+D36*G31</f>
        <v>19353967.166666664</v>
      </c>
      <c r="H36" s="319">
        <f t="shared" ref="H36:H82" si="7">SUM(I36:T36)</f>
        <v>232247606</v>
      </c>
      <c r="I36" s="154"/>
      <c r="J36" s="157"/>
      <c r="K36" s="154"/>
      <c r="L36" s="206">
        <v>77415869</v>
      </c>
      <c r="M36" s="206">
        <v>19353967</v>
      </c>
      <c r="N36" s="206">
        <v>19353967</v>
      </c>
      <c r="O36" s="212">
        <v>19353967</v>
      </c>
      <c r="P36" s="212">
        <v>19353967</v>
      </c>
      <c r="Q36" s="212">
        <v>19353968</v>
      </c>
      <c r="R36" s="212">
        <v>19353967</v>
      </c>
      <c r="S36" s="212">
        <v>19353967</v>
      </c>
      <c r="T36" s="248">
        <v>19353967</v>
      </c>
      <c r="U36" s="235"/>
      <c r="V36" s="217"/>
      <c r="W36" s="206"/>
      <c r="X36" s="206">
        <v>77415869</v>
      </c>
      <c r="Y36" s="206">
        <v>19353967</v>
      </c>
      <c r="Z36" s="206">
        <v>19353967</v>
      </c>
      <c r="AA36" s="206">
        <v>19353967</v>
      </c>
      <c r="AB36" s="206">
        <v>19353967</v>
      </c>
      <c r="AC36" s="206"/>
      <c r="AD36" s="206">
        <v>19353967</v>
      </c>
      <c r="AE36" s="206">
        <v>19353967</v>
      </c>
      <c r="AF36" s="206"/>
      <c r="AG36" s="219">
        <f>SUM(U36:AF36)</f>
        <v>193539671</v>
      </c>
      <c r="AH36" s="124">
        <f t="shared" si="5"/>
        <v>38707935</v>
      </c>
      <c r="AK36" s="235"/>
      <c r="AL36" s="206"/>
      <c r="AM36" s="206"/>
      <c r="AN36" s="206">
        <v>27623407</v>
      </c>
      <c r="AO36" s="206">
        <v>16163202</v>
      </c>
      <c r="AP36" s="206">
        <v>35569045</v>
      </c>
      <c r="AQ36" s="206">
        <v>17079974</v>
      </c>
      <c r="AR36" s="206">
        <v>14474252</v>
      </c>
      <c r="AS36" s="206"/>
      <c r="AT36" s="206">
        <v>34645338</v>
      </c>
      <c r="AU36" s="206">
        <v>19094205</v>
      </c>
      <c r="AV36" s="227"/>
      <c r="AW36" s="228">
        <f>SUM(AK36:AV36)</f>
        <v>164649423</v>
      </c>
      <c r="AX36" s="431">
        <f t="shared" si="6"/>
        <v>28890248</v>
      </c>
      <c r="AZ36" s="502">
        <f>+(AX35*AZ34)/AY34</f>
        <v>0.97903203490744084</v>
      </c>
      <c r="BA36" s="207">
        <f>+AY33*AZ36</f>
        <v>1553949.0167661372</v>
      </c>
    </row>
    <row r="37" spans="1:53" ht="15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7"/>
        <v>0</v>
      </c>
      <c r="I37" s="154"/>
      <c r="J37" s="157"/>
      <c r="K37" s="154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1">
        <f t="shared" si="6"/>
        <v>0</v>
      </c>
      <c r="AY37" s="207">
        <v>8712790</v>
      </c>
      <c r="AZ37" s="502"/>
      <c r="BA37" s="207"/>
    </row>
    <row r="38" spans="1:53" ht="15">
      <c r="A38" s="573">
        <v>5</v>
      </c>
      <c r="B38" s="575" t="s">
        <v>101</v>
      </c>
      <c r="C38" s="576">
        <v>1911</v>
      </c>
      <c r="D38" s="577">
        <v>175531082</v>
      </c>
      <c r="E38" s="578">
        <f>+D38*E31</f>
        <v>122871757.39999999</v>
      </c>
      <c r="F38" s="579">
        <f>+D38*F31</f>
        <v>52659324.600000001</v>
      </c>
      <c r="G38" s="580"/>
      <c r="H38" s="319">
        <f t="shared" si="7"/>
        <v>175531082</v>
      </c>
      <c r="I38" s="154"/>
      <c r="J38" s="157"/>
      <c r="K38" s="154">
        <v>122871757.39999999</v>
      </c>
      <c r="L38" s="206"/>
      <c r="M38" s="206"/>
      <c r="N38" s="206"/>
      <c r="O38" s="212"/>
      <c r="P38" s="212"/>
      <c r="Q38" s="212"/>
      <c r="R38" s="212">
        <v>52659324.600000001</v>
      </c>
      <c r="S38" s="212"/>
      <c r="T38" s="248"/>
      <c r="U38" s="235"/>
      <c r="V38" s="217"/>
      <c r="W38" s="206">
        <v>122871757.39999999</v>
      </c>
      <c r="X38" s="206"/>
      <c r="Y38" s="206"/>
      <c r="Z38" s="206"/>
      <c r="AA38" s="206"/>
      <c r="AB38" s="206"/>
      <c r="AC38" s="206"/>
      <c r="AD38" s="206">
        <v>52659324.600000001</v>
      </c>
      <c r="AE38" s="206"/>
      <c r="AF38" s="206"/>
      <c r="AG38" s="219">
        <f t="shared" ref="AG38:AG67" si="8">SUM(U38:AF38)</f>
        <v>175531082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>
        <v>8720110.9043207653</v>
      </c>
      <c r="AR38" s="206">
        <v>13300829.373498185</v>
      </c>
      <c r="AS38" s="206"/>
      <c r="AT38" s="206">
        <v>15278856.341692997</v>
      </c>
      <c r="AU38" s="206">
        <v>8882879.0283804797</v>
      </c>
      <c r="AV38" s="227">
        <v>8287564.0022576237</v>
      </c>
      <c r="AW38" s="228">
        <f t="shared" ref="AW38:AW45" si="9">SUM(AK38:AV38)</f>
        <v>54470239.650150053</v>
      </c>
      <c r="AX38" s="431">
        <f t="shared" si="6"/>
        <v>121060842.34984994</v>
      </c>
      <c r="AY38" s="170">
        <f>+AX38+AX39</f>
        <v>127272343.99999999</v>
      </c>
      <c r="AZ38" s="149">
        <v>1</v>
      </c>
    </row>
    <row r="39" spans="1:53" ht="15">
      <c r="A39" s="573">
        <v>6</v>
      </c>
      <c r="B39" s="575" t="s">
        <v>102</v>
      </c>
      <c r="C39" s="576">
        <v>1911</v>
      </c>
      <c r="D39" s="577">
        <v>9009000</v>
      </c>
      <c r="E39" s="578">
        <f>+D39*E31</f>
        <v>6306300</v>
      </c>
      <c r="F39" s="579">
        <f>+D39*F31</f>
        <v>2702700</v>
      </c>
      <c r="G39" s="580"/>
      <c r="H39" s="319">
        <f t="shared" si="7"/>
        <v>9009000</v>
      </c>
      <c r="I39" s="154"/>
      <c r="J39" s="157"/>
      <c r="K39" s="154">
        <v>6306300</v>
      </c>
      <c r="L39" s="206"/>
      <c r="M39" s="206"/>
      <c r="N39" s="206"/>
      <c r="O39" s="212"/>
      <c r="P39" s="212"/>
      <c r="Q39" s="212"/>
      <c r="R39" s="212">
        <v>2702700</v>
      </c>
      <c r="S39" s="212"/>
      <c r="T39" s="248"/>
      <c r="U39" s="235"/>
      <c r="V39" s="217"/>
      <c r="W39" s="206">
        <v>6306300</v>
      </c>
      <c r="X39" s="206"/>
      <c r="Y39" s="206"/>
      <c r="Z39" s="206"/>
      <c r="AA39" s="206"/>
      <c r="AB39" s="206"/>
      <c r="AC39" s="206"/>
      <c r="AD39" s="206">
        <v>2702700</v>
      </c>
      <c r="AE39" s="206"/>
      <c r="AF39" s="206"/>
      <c r="AG39" s="219">
        <f t="shared" si="8"/>
        <v>9009000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>
        <v>447553.0956792357</v>
      </c>
      <c r="AR39" s="206">
        <v>685150.62650181528</v>
      </c>
      <c r="AS39" s="206"/>
      <c r="AT39" s="206">
        <v>783797.65830700321</v>
      </c>
      <c r="AU39" s="206">
        <v>455770.97161951987</v>
      </c>
      <c r="AV39" s="227">
        <v>425225.99774237559</v>
      </c>
      <c r="AW39" s="228">
        <f t="shared" si="9"/>
        <v>2797498.3498499496</v>
      </c>
      <c r="AX39" s="431">
        <f t="shared" si="6"/>
        <v>6211501.6501500504</v>
      </c>
      <c r="AY39" s="170"/>
      <c r="AZ39" s="149">
        <f>+(AX38*AZ38)/AY38</f>
        <v>0.95119519720521495</v>
      </c>
      <c r="BA39" s="207">
        <f>+AY37*AZ39</f>
        <v>8287564.0022576246</v>
      </c>
    </row>
    <row r="40" spans="1:53" ht="15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7"/>
        <v>0</v>
      </c>
      <c r="I40" s="154"/>
      <c r="J40" s="157"/>
      <c r="K40" s="154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1">
        <f t="shared" si="6"/>
        <v>0</v>
      </c>
      <c r="AZ40" s="502">
        <f>+(AX39*AZ38)/AY38</f>
        <v>4.8804802794785107E-2</v>
      </c>
      <c r="BA40" s="207">
        <f>+AY37*AZ40</f>
        <v>425225.99774237571</v>
      </c>
    </row>
    <row r="41" spans="1:53" ht="15">
      <c r="A41" s="573">
        <v>8</v>
      </c>
      <c r="B41" s="575" t="s">
        <v>76</v>
      </c>
      <c r="C41" s="576">
        <v>1620</v>
      </c>
      <c r="D41" s="577">
        <v>30491110</v>
      </c>
      <c r="E41" s="578">
        <f>+D41*E31</f>
        <v>21343777</v>
      </c>
      <c r="F41" s="579">
        <f>+D41*F31</f>
        <v>9147333</v>
      </c>
      <c r="G41" s="580"/>
      <c r="H41" s="319">
        <f t="shared" si="7"/>
        <v>30491110</v>
      </c>
      <c r="I41" s="154"/>
      <c r="J41" s="157"/>
      <c r="K41" s="154">
        <v>21343777</v>
      </c>
      <c r="L41" s="206"/>
      <c r="M41" s="206"/>
      <c r="N41" s="206"/>
      <c r="O41" s="212"/>
      <c r="P41" s="212"/>
      <c r="Q41" s="212"/>
      <c r="R41" s="212">
        <v>9147333</v>
      </c>
      <c r="S41" s="212"/>
      <c r="T41" s="248"/>
      <c r="U41" s="2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/>
      <c r="AN41" s="206">
        <v>4713812</v>
      </c>
      <c r="AO41" s="206">
        <v>2432996</v>
      </c>
      <c r="AP41" s="206">
        <v>4865992</v>
      </c>
      <c r="AQ41" s="206">
        <v>2432996</v>
      </c>
      <c r="AR41" s="206">
        <v>2432996</v>
      </c>
      <c r="AS41" s="206"/>
      <c r="AT41" s="206">
        <v>5018255</v>
      </c>
      <c r="AU41" s="206">
        <v>2509080</v>
      </c>
      <c r="AV41" s="227">
        <v>4318250</v>
      </c>
      <c r="AW41" s="228">
        <f t="shared" si="9"/>
        <v>28724377</v>
      </c>
      <c r="AX41" s="431">
        <f t="shared" si="6"/>
        <v>1766733</v>
      </c>
      <c r="AZ41" s="502"/>
      <c r="BA41" s="207"/>
    </row>
    <row r="42" spans="1:53" ht="15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7"/>
        <v>0</v>
      </c>
      <c r="I42" s="154"/>
      <c r="J42" s="157"/>
      <c r="K42" s="154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6"/>
        <v>0</v>
      </c>
    </row>
    <row r="43" spans="1:53" ht="15">
      <c r="A43" s="573">
        <v>10</v>
      </c>
      <c r="B43" s="575" t="s">
        <v>104</v>
      </c>
      <c r="C43" s="576">
        <v>2796</v>
      </c>
      <c r="D43" s="577">
        <v>30375467</v>
      </c>
      <c r="E43" s="578">
        <f>+D43*E31</f>
        <v>21262826.899999999</v>
      </c>
      <c r="F43" s="579">
        <f>+D43*F31</f>
        <v>9112640.0999999996</v>
      </c>
      <c r="G43" s="580"/>
      <c r="H43" s="319">
        <f t="shared" si="7"/>
        <v>30375467</v>
      </c>
      <c r="I43" s="154"/>
      <c r="J43" s="157"/>
      <c r="K43" s="154"/>
      <c r="L43" s="206"/>
      <c r="M43" s="206">
        <v>21262827</v>
      </c>
      <c r="N43" s="206"/>
      <c r="O43" s="212"/>
      <c r="P43" s="212"/>
      <c r="Q43" s="212"/>
      <c r="R43" s="212">
        <v>9112640</v>
      </c>
      <c r="S43" s="212"/>
      <c r="T43" s="248"/>
      <c r="U43" s="235"/>
      <c r="V43" s="217"/>
      <c r="W43" s="206"/>
      <c r="X43" s="206"/>
      <c r="Y43" s="206">
        <v>21262827</v>
      </c>
      <c r="Z43" s="206"/>
      <c r="AA43" s="206"/>
      <c r="AB43" s="206"/>
      <c r="AC43" s="206"/>
      <c r="AD43" s="206">
        <v>9112640</v>
      </c>
      <c r="AE43" s="206"/>
      <c r="AF43" s="206"/>
      <c r="AG43" s="219">
        <f t="shared" si="8"/>
        <v>30375467</v>
      </c>
      <c r="AH43" s="124">
        <f t="shared" si="5"/>
        <v>0</v>
      </c>
      <c r="AK43" s="235"/>
      <c r="AL43" s="217"/>
      <c r="AM43" s="206"/>
      <c r="AN43" s="206">
        <v>7385222</v>
      </c>
      <c r="AO43" s="206">
        <v>0</v>
      </c>
      <c r="AP43" s="206">
        <v>5170340</v>
      </c>
      <c r="AQ43" s="206">
        <v>2585170</v>
      </c>
      <c r="AR43" s="206">
        <v>2585170</v>
      </c>
      <c r="AS43" s="206"/>
      <c r="AT43" s="206">
        <v>5170340</v>
      </c>
      <c r="AU43" s="206">
        <v>2585170</v>
      </c>
      <c r="AV43" s="227">
        <v>2965332</v>
      </c>
      <c r="AW43" s="228">
        <f t="shared" si="9"/>
        <v>28446744</v>
      </c>
      <c r="AX43" s="431">
        <f t="shared" si="6"/>
        <v>1928723</v>
      </c>
    </row>
    <row r="44" spans="1:53" ht="15">
      <c r="A44" s="573">
        <v>11</v>
      </c>
      <c r="B44" s="575" t="s">
        <v>78</v>
      </c>
      <c r="C44" s="576">
        <v>1304</v>
      </c>
      <c r="D44" s="577">
        <v>42676176</v>
      </c>
      <c r="E44" s="578">
        <f>+D44*E31</f>
        <v>29873323.199999999</v>
      </c>
      <c r="F44" s="579">
        <f>+D44*F31</f>
        <v>12802852.799999999</v>
      </c>
      <c r="G44" s="580"/>
      <c r="H44" s="319">
        <f t="shared" si="7"/>
        <v>42676176</v>
      </c>
      <c r="I44" s="154"/>
      <c r="J44" s="12"/>
      <c r="K44" s="154"/>
      <c r="L44" s="206"/>
      <c r="M44" s="206">
        <v>29873323.199999999</v>
      </c>
      <c r="N44" s="206"/>
      <c r="O44" s="212"/>
      <c r="P44" s="212"/>
      <c r="Q44" s="212"/>
      <c r="R44" s="212"/>
      <c r="S44" s="212"/>
      <c r="T44" s="248">
        <v>12802852.799999999</v>
      </c>
      <c r="U44" s="235"/>
      <c r="V44" s="217"/>
      <c r="W44" s="206"/>
      <c r="X44" s="206"/>
      <c r="Y44" s="206">
        <v>29873323.199999999</v>
      </c>
      <c r="Z44" s="206"/>
      <c r="AA44" s="206"/>
      <c r="AB44" s="206"/>
      <c r="AC44" s="206"/>
      <c r="AD44" s="206"/>
      <c r="AE44" s="206"/>
      <c r="AF44" s="206">
        <v>12802852.799999999</v>
      </c>
      <c r="AG44" s="219">
        <f t="shared" si="8"/>
        <v>42676176</v>
      </c>
      <c r="AH44" s="124">
        <f t="shared" si="5"/>
        <v>0</v>
      </c>
      <c r="AK44" s="235"/>
      <c r="AL44" s="217"/>
      <c r="AM44" s="206"/>
      <c r="AN44" s="206">
        <v>9807831</v>
      </c>
      <c r="AO44" s="206"/>
      <c r="AP44" s="206">
        <v>6642534</v>
      </c>
      <c r="AQ44" s="206">
        <v>3345361</v>
      </c>
      <c r="AR44" s="206">
        <v>3345361</v>
      </c>
      <c r="AS44" s="206"/>
      <c r="AT44" s="206">
        <v>6538554</v>
      </c>
      <c r="AU44" s="206">
        <v>3269277</v>
      </c>
      <c r="AV44" s="227">
        <v>4043767</v>
      </c>
      <c r="AW44" s="228">
        <f t="shared" si="9"/>
        <v>36992685</v>
      </c>
      <c r="AX44" s="431">
        <f t="shared" si="6"/>
        <v>5683491</v>
      </c>
    </row>
    <row r="45" spans="1:53" s="190" customFormat="1" ht="15">
      <c r="A45" s="573">
        <v>12</v>
      </c>
      <c r="B45" s="618" t="s">
        <v>79</v>
      </c>
      <c r="C45" s="603" t="s">
        <v>230</v>
      </c>
      <c r="D45" s="597">
        <v>117483064</v>
      </c>
      <c r="E45" s="598">
        <f>+D45*E31</f>
        <v>82238144.799999997</v>
      </c>
      <c r="F45" s="599">
        <f>+D45*F31</f>
        <v>35244919.199999996</v>
      </c>
      <c r="G45" s="600"/>
      <c r="H45" s="349">
        <f t="shared" si="7"/>
        <v>117483064</v>
      </c>
      <c r="I45" s="188"/>
      <c r="J45" s="187"/>
      <c r="K45" s="188"/>
      <c r="L45" s="231"/>
      <c r="M45" s="231">
        <v>82238145</v>
      </c>
      <c r="N45" s="231"/>
      <c r="O45" s="212"/>
      <c r="P45" s="212"/>
      <c r="Q45" s="212"/>
      <c r="R45" s="212">
        <v>35244919</v>
      </c>
      <c r="S45" s="212"/>
      <c r="T45" s="248"/>
      <c r="U45" s="238"/>
      <c r="V45" s="230"/>
      <c r="W45" s="231"/>
      <c r="X45" s="231"/>
      <c r="Y45" s="231">
        <v>82238145</v>
      </c>
      <c r="Z45" s="231"/>
      <c r="AA45" s="231"/>
      <c r="AB45" s="231"/>
      <c r="AC45" s="231"/>
      <c r="AD45" s="231">
        <v>35244919</v>
      </c>
      <c r="AE45" s="231"/>
      <c r="AF45" s="231"/>
      <c r="AG45" s="359">
        <f t="shared" si="8"/>
        <v>117483064</v>
      </c>
      <c r="AH45" s="350">
        <f t="shared" si="5"/>
        <v>0</v>
      </c>
      <c r="AK45" s="238"/>
      <c r="AL45" s="230"/>
      <c r="AM45" s="231"/>
      <c r="AN45" s="231">
        <v>12652776</v>
      </c>
      <c r="AO45" s="231">
        <v>7305647</v>
      </c>
      <c r="AP45" s="231">
        <v>6358662</v>
      </c>
      <c r="AQ45" s="231">
        <v>12856114</v>
      </c>
      <c r="AR45" s="231">
        <v>6428057</v>
      </c>
      <c r="AS45" s="231"/>
      <c r="AT45" s="231">
        <v>12856114</v>
      </c>
      <c r="AU45" s="231">
        <v>6563573</v>
      </c>
      <c r="AV45" s="436">
        <v>6306824</v>
      </c>
      <c r="AW45" s="450">
        <f t="shared" si="9"/>
        <v>71327767</v>
      </c>
      <c r="AX45" s="431">
        <f t="shared" si="6"/>
        <v>46155297</v>
      </c>
    </row>
    <row r="46" spans="1:53" ht="15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7"/>
        <v>0</v>
      </c>
      <c r="I46" s="154"/>
      <c r="J46" s="12"/>
      <c r="K46" s="154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06"/>
      <c r="AU46" s="213"/>
      <c r="AV46" s="437"/>
      <c r="AW46" s="228">
        <f>SUM(AK46:AV46)</f>
        <v>0</v>
      </c>
      <c r="AX46" s="431">
        <f t="shared" si="6"/>
        <v>0</v>
      </c>
    </row>
    <row r="47" spans="1:53" ht="15">
      <c r="A47" s="573">
        <v>14</v>
      </c>
      <c r="B47" s="575" t="s">
        <v>81</v>
      </c>
      <c r="C47" s="576">
        <v>2306</v>
      </c>
      <c r="D47" s="577">
        <v>113217305</v>
      </c>
      <c r="E47" s="578">
        <f>+D47*E31</f>
        <v>79252113.5</v>
      </c>
      <c r="F47" s="579">
        <f>+D47*F31</f>
        <v>33965191.5</v>
      </c>
      <c r="G47" s="580"/>
      <c r="H47" s="319">
        <f t="shared" si="7"/>
        <v>113217305</v>
      </c>
      <c r="I47" s="154"/>
      <c r="J47" s="12"/>
      <c r="K47" s="154"/>
      <c r="L47" s="206">
        <v>79252113</v>
      </c>
      <c r="M47" s="206"/>
      <c r="N47" s="206"/>
      <c r="O47" s="212"/>
      <c r="P47" s="212"/>
      <c r="Q47" s="212"/>
      <c r="R47" s="212">
        <v>33965192</v>
      </c>
      <c r="S47" s="212"/>
      <c r="T47" s="248"/>
      <c r="U47" s="235"/>
      <c r="V47" s="206"/>
      <c r="W47" s="206"/>
      <c r="X47" s="206">
        <v>79252113</v>
      </c>
      <c r="Y47" s="206"/>
      <c r="Z47" s="206"/>
      <c r="AA47" s="206"/>
      <c r="AB47" s="206"/>
      <c r="AC47" s="206"/>
      <c r="AD47" s="206">
        <v>33965192</v>
      </c>
      <c r="AE47" s="206"/>
      <c r="AF47" s="206"/>
      <c r="AG47" s="219">
        <f t="shared" si="8"/>
        <v>113217305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>
        <v>1332194</v>
      </c>
      <c r="AW47" s="228">
        <f t="shared" ref="AW47:AW67" si="10">SUM(AK47:AV47)</f>
        <v>1332194</v>
      </c>
      <c r="AX47" s="431">
        <f t="shared" si="6"/>
        <v>111885111</v>
      </c>
    </row>
    <row r="48" spans="1:53" ht="15">
      <c r="A48" s="18">
        <v>15</v>
      </c>
      <c r="B48" s="7" t="s">
        <v>82</v>
      </c>
      <c r="C48" s="147"/>
      <c r="D48" s="13"/>
      <c r="E48" s="142"/>
      <c r="F48" s="143"/>
      <c r="G48" s="160"/>
      <c r="H48" s="319">
        <f t="shared" si="7"/>
        <v>0</v>
      </c>
      <c r="I48" s="154"/>
      <c r="J48" s="12"/>
      <c r="K48" s="154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8"/>
        <v>0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1">
        <f t="shared" si="6"/>
        <v>0</v>
      </c>
    </row>
    <row r="49" spans="1:53" ht="15">
      <c r="A49" s="573">
        <v>16</v>
      </c>
      <c r="B49" s="575" t="s">
        <v>83</v>
      </c>
      <c r="C49" s="576">
        <v>2055</v>
      </c>
      <c r="D49" s="577">
        <v>30390434</v>
      </c>
      <c r="E49" s="578">
        <f>+D49*E31</f>
        <v>21273303.799999997</v>
      </c>
      <c r="F49" s="579">
        <f>+D49*F31</f>
        <v>9117130.1999999993</v>
      </c>
      <c r="G49" s="580"/>
      <c r="H49" s="319">
        <f t="shared" si="7"/>
        <v>30390434</v>
      </c>
      <c r="I49" s="154"/>
      <c r="J49" s="12"/>
      <c r="K49" s="154"/>
      <c r="L49" s="206">
        <v>21273303</v>
      </c>
      <c r="M49" s="206"/>
      <c r="N49" s="206"/>
      <c r="O49" s="212"/>
      <c r="P49" s="212"/>
      <c r="Q49" s="212"/>
      <c r="R49" s="212">
        <v>9117131</v>
      </c>
      <c r="S49" s="212"/>
      <c r="T49" s="248"/>
      <c r="U49" s="235"/>
      <c r="V49" s="206"/>
      <c r="W49" s="206"/>
      <c r="X49" s="206">
        <v>21273303</v>
      </c>
      <c r="Y49" s="206"/>
      <c r="Z49" s="206"/>
      <c r="AA49" s="206"/>
      <c r="AB49" s="206"/>
      <c r="AC49" s="206"/>
      <c r="AD49" s="206"/>
      <c r="AE49" s="206">
        <v>9117131</v>
      </c>
      <c r="AF49" s="206"/>
      <c r="AG49" s="219">
        <f t="shared" si="8"/>
        <v>30390434</v>
      </c>
      <c r="AH49" s="124">
        <f t="shared" si="5"/>
        <v>0</v>
      </c>
      <c r="AK49" s="235"/>
      <c r="AL49" s="206"/>
      <c r="AM49" s="206">
        <v>0</v>
      </c>
      <c r="AN49" s="206">
        <v>4386226</v>
      </c>
      <c r="AO49" s="206"/>
      <c r="AP49" s="206">
        <v>0</v>
      </c>
      <c r="AQ49" s="206">
        <v>10386357</v>
      </c>
      <c r="AR49" s="206">
        <v>2680053</v>
      </c>
      <c r="AS49" s="206"/>
      <c r="AT49" s="206">
        <v>5360106</v>
      </c>
      <c r="AU49" s="206">
        <v>2680053</v>
      </c>
      <c r="AV49" s="227">
        <v>2680053</v>
      </c>
      <c r="AW49" s="228">
        <f>SUM(AK49:AV49)</f>
        <v>28172848</v>
      </c>
      <c r="AX49" s="431">
        <f t="shared" si="6"/>
        <v>2217586</v>
      </c>
    </row>
    <row r="50" spans="1:53" ht="15">
      <c r="A50" s="573">
        <v>17</v>
      </c>
      <c r="B50" s="575" t="s">
        <v>95</v>
      </c>
      <c r="C50" s="576">
        <v>1234</v>
      </c>
      <c r="D50" s="577">
        <v>11911965</v>
      </c>
      <c r="E50" s="578">
        <f>+D50*$E$31</f>
        <v>8338375.4999999991</v>
      </c>
      <c r="F50" s="579">
        <f>+D50*$F$31</f>
        <v>3573589.5</v>
      </c>
      <c r="G50" s="669"/>
      <c r="H50" s="319">
        <f t="shared" si="7"/>
        <v>11911965</v>
      </c>
      <c r="I50" s="154"/>
      <c r="J50" s="12"/>
      <c r="K50" s="154">
        <v>8338375.4999999991</v>
      </c>
      <c r="L50" s="206"/>
      <c r="M50" s="206"/>
      <c r="N50" s="206"/>
      <c r="O50" s="212"/>
      <c r="P50" s="212"/>
      <c r="Q50" s="212"/>
      <c r="R50" s="212">
        <v>2475764.8564893142</v>
      </c>
      <c r="S50" s="212">
        <v>1097824.6435106862</v>
      </c>
      <c r="T50" s="248"/>
      <c r="U50" s="235"/>
      <c r="V50" s="206"/>
      <c r="W50" s="206">
        <v>8338375.4999999991</v>
      </c>
      <c r="X50" s="206"/>
      <c r="Y50" s="206"/>
      <c r="Z50" s="206"/>
      <c r="AA50" s="206"/>
      <c r="AB50" s="206"/>
      <c r="AC50" s="206"/>
      <c r="AD50" s="206">
        <v>2475764.8564893142</v>
      </c>
      <c r="AE50" s="206">
        <v>1097824.6435106862</v>
      </c>
      <c r="AF50" s="206"/>
      <c r="AG50" s="219">
        <f t="shared" si="8"/>
        <v>11911965</v>
      </c>
      <c r="AH50" s="124">
        <f t="shared" si="5"/>
        <v>0</v>
      </c>
      <c r="AK50" s="206"/>
      <c r="AL50" s="206"/>
      <c r="AM50" s="206"/>
      <c r="AN50" s="206">
        <v>525484.46429399331</v>
      </c>
      <c r="AO50" s="206">
        <v>262742.39442750212</v>
      </c>
      <c r="AP50" s="206">
        <v>528159.30140898027</v>
      </c>
      <c r="AQ50" s="206">
        <v>264079.65070449014</v>
      </c>
      <c r="AR50" s="206">
        <v>264079.65070449014</v>
      </c>
      <c r="AS50" s="206"/>
      <c r="AT50" s="206">
        <v>528159.30140898039</v>
      </c>
      <c r="AU50" s="206">
        <v>274691.62734031188</v>
      </c>
      <c r="AV50" s="227">
        <v>352691.88210213615</v>
      </c>
      <c r="AW50" s="228">
        <f t="shared" si="10"/>
        <v>3000088.2723908839</v>
      </c>
      <c r="AX50" s="431">
        <f t="shared" si="6"/>
        <v>8911876.7276091166</v>
      </c>
      <c r="AY50" s="207">
        <v>5433368</v>
      </c>
      <c r="AZ50" s="149">
        <v>1</v>
      </c>
    </row>
    <row r="51" spans="1:53" ht="15">
      <c r="A51" s="573">
        <v>18</v>
      </c>
      <c r="B51" s="575" t="s">
        <v>96</v>
      </c>
      <c r="C51" s="576">
        <v>1234</v>
      </c>
      <c r="D51" s="577">
        <v>128282700</v>
      </c>
      <c r="E51" s="578">
        <f>+D51*$E$31</f>
        <v>89797890</v>
      </c>
      <c r="F51" s="579">
        <f>+D51*$F$31</f>
        <v>38484810</v>
      </c>
      <c r="G51" s="669"/>
      <c r="H51" s="319">
        <f t="shared" si="7"/>
        <v>128282700</v>
      </c>
      <c r="I51" s="154"/>
      <c r="J51" s="12"/>
      <c r="K51" s="154">
        <v>89797890</v>
      </c>
      <c r="L51" s="206"/>
      <c r="M51" s="206"/>
      <c r="N51" s="206"/>
      <c r="O51" s="212"/>
      <c r="P51" s="212"/>
      <c r="Q51" s="212"/>
      <c r="R51" s="212">
        <v>17330353.995425198</v>
      </c>
      <c r="S51" s="212">
        <v>21154456.004574805</v>
      </c>
      <c r="T51" s="248"/>
      <c r="U51" s="235"/>
      <c r="V51" s="206"/>
      <c r="W51" s="206">
        <v>89797890</v>
      </c>
      <c r="X51" s="206"/>
      <c r="Y51" s="206"/>
      <c r="Z51" s="206"/>
      <c r="AA51" s="206"/>
      <c r="AB51" s="206"/>
      <c r="AC51" s="206"/>
      <c r="AD51" s="206">
        <v>17330353.995425198</v>
      </c>
      <c r="AE51" s="206">
        <v>21154456.004574805</v>
      </c>
      <c r="AF51" s="206"/>
      <c r="AG51" s="219">
        <f t="shared" si="8"/>
        <v>128282700</v>
      </c>
      <c r="AH51" s="124">
        <f t="shared" si="5"/>
        <v>0</v>
      </c>
      <c r="AK51" s="206"/>
      <c r="AL51" s="206"/>
      <c r="AM51" s="206"/>
      <c r="AN51" s="206">
        <v>5659063.4616276203</v>
      </c>
      <c r="AO51" s="206">
        <v>2829533.4784500231</v>
      </c>
      <c r="AP51" s="206">
        <v>5687869.3997890195</v>
      </c>
      <c r="AQ51" s="206">
        <v>2843934.6998945097</v>
      </c>
      <c r="AR51" s="206">
        <v>2843934.6998945097</v>
      </c>
      <c r="AS51" s="206"/>
      <c r="AT51" s="206">
        <v>5687869.3997890204</v>
      </c>
      <c r="AU51" s="206">
        <v>2958217.5252033588</v>
      </c>
      <c r="AV51" s="227">
        <v>3798220.2687922348</v>
      </c>
      <c r="AW51" s="228">
        <f t="shared" si="10"/>
        <v>32308642.933440298</v>
      </c>
      <c r="AX51" s="431">
        <f t="shared" si="6"/>
        <v>95974057.066559702</v>
      </c>
      <c r="AY51" s="170">
        <f>+AX50+AX51+AX52+AX53</f>
        <v>137291240</v>
      </c>
      <c r="AZ51" s="149">
        <f>+(AX50*$AZ$50)/$AY$51</f>
        <v>6.491220217407255E-2</v>
      </c>
      <c r="BA51" s="207">
        <f>+$AY$50*AZ51</f>
        <v>352691.88210213621</v>
      </c>
    </row>
    <row r="52" spans="1:53" ht="15">
      <c r="A52" s="573">
        <v>19</v>
      </c>
      <c r="B52" s="575" t="s">
        <v>97</v>
      </c>
      <c r="C52" s="576">
        <v>1234</v>
      </c>
      <c r="D52" s="577">
        <v>35636250</v>
      </c>
      <c r="E52" s="578">
        <f>+D52*$E$31</f>
        <v>24945375</v>
      </c>
      <c r="F52" s="579">
        <f>+D52*$F$31</f>
        <v>10690875</v>
      </c>
      <c r="G52" s="669"/>
      <c r="H52" s="319">
        <f t="shared" si="7"/>
        <v>35636250</v>
      </c>
      <c r="I52" s="154"/>
      <c r="J52" s="12"/>
      <c r="K52" s="154">
        <v>24945375</v>
      </c>
      <c r="L52" s="206"/>
      <c r="M52" s="206"/>
      <c r="N52" s="206"/>
      <c r="O52" s="212"/>
      <c r="P52" s="212"/>
      <c r="Q52" s="212"/>
      <c r="R52" s="212">
        <v>3466281.5473171305</v>
      </c>
      <c r="S52" s="212">
        <v>7224593.4526828676</v>
      </c>
      <c r="T52" s="248"/>
      <c r="U52" s="235"/>
      <c r="V52" s="206"/>
      <c r="W52" s="206">
        <v>24945375</v>
      </c>
      <c r="X52" s="206"/>
      <c r="Y52" s="206"/>
      <c r="Z52" s="206"/>
      <c r="AA52" s="206"/>
      <c r="AB52" s="206"/>
      <c r="AC52" s="206"/>
      <c r="AD52" s="206">
        <v>3466281.5473171305</v>
      </c>
      <c r="AE52" s="206">
        <v>7224593.4526828676</v>
      </c>
      <c r="AF52" s="206"/>
      <c r="AG52" s="219">
        <f t="shared" si="8"/>
        <v>35636250</v>
      </c>
      <c r="AH52" s="124">
        <f t="shared" si="5"/>
        <v>0</v>
      </c>
      <c r="AK52" s="206"/>
      <c r="AL52" s="206"/>
      <c r="AM52" s="206"/>
      <c r="AN52" s="206">
        <v>1572057.6530149996</v>
      </c>
      <c r="AO52" s="206">
        <v>786029.31199152058</v>
      </c>
      <c r="AP52" s="206">
        <v>1580059.7890302546</v>
      </c>
      <c r="AQ52" s="206">
        <v>790029.89451512729</v>
      </c>
      <c r="AR52" s="206">
        <v>790029.89451512718</v>
      </c>
      <c r="AS52" s="206"/>
      <c r="AT52" s="206">
        <v>1580059.7890302551</v>
      </c>
      <c r="AU52" s="206">
        <v>821777.0539794392</v>
      </c>
      <c r="AV52" s="227">
        <v>1055125.3368828944</v>
      </c>
      <c r="AW52" s="228">
        <f t="shared" si="10"/>
        <v>8975168.7229596172</v>
      </c>
      <c r="AX52" s="431">
        <f t="shared" si="6"/>
        <v>26661081.277040385</v>
      </c>
      <c r="AZ52" s="149">
        <f>+(AX51*$AZ$50)/$AY$51</f>
        <v>0.69905448495155043</v>
      </c>
      <c r="BA52" s="207">
        <f>+$AY$50*AZ52</f>
        <v>3798220.2687922358</v>
      </c>
    </row>
    <row r="53" spans="1:53" ht="15">
      <c r="A53" s="573">
        <v>20</v>
      </c>
      <c r="B53" s="575" t="s">
        <v>98</v>
      </c>
      <c r="C53" s="576">
        <v>1234</v>
      </c>
      <c r="D53" s="577">
        <v>7677957</v>
      </c>
      <c r="E53" s="578">
        <f>+D53*$E$31</f>
        <v>5374569.8999999994</v>
      </c>
      <c r="F53" s="579">
        <f>+D53*$F$31</f>
        <v>2303387.1</v>
      </c>
      <c r="G53" s="669"/>
      <c r="H53" s="319">
        <f t="shared" si="7"/>
        <v>7677957</v>
      </c>
      <c r="I53" s="154"/>
      <c r="J53" s="12"/>
      <c r="K53" s="154">
        <v>5374569.8999999994</v>
      </c>
      <c r="L53" s="206"/>
      <c r="M53" s="206"/>
      <c r="N53" s="206"/>
      <c r="O53" s="212"/>
      <c r="P53" s="212"/>
      <c r="Q53" s="212"/>
      <c r="R53" s="212">
        <v>878319.6007683574</v>
      </c>
      <c r="S53" s="212">
        <v>1425067.499231643</v>
      </c>
      <c r="T53" s="248"/>
      <c r="U53" s="235"/>
      <c r="V53" s="206"/>
      <c r="W53" s="206">
        <v>5374569.8999999994</v>
      </c>
      <c r="X53" s="206"/>
      <c r="Y53" s="206"/>
      <c r="Z53" s="206"/>
      <c r="AA53" s="206"/>
      <c r="AB53" s="206"/>
      <c r="AC53" s="206"/>
      <c r="AD53" s="206">
        <v>878319.6007683574</v>
      </c>
      <c r="AE53" s="206">
        <v>1425067.499231643</v>
      </c>
      <c r="AF53" s="206"/>
      <c r="AG53" s="219">
        <f t="shared" si="8"/>
        <v>7677957</v>
      </c>
      <c r="AH53" s="124">
        <f t="shared" si="5"/>
        <v>0</v>
      </c>
      <c r="AK53" s="206"/>
      <c r="AL53" s="206"/>
      <c r="AM53" s="206"/>
      <c r="AN53" s="206">
        <v>338705.4210633859</v>
      </c>
      <c r="AO53" s="206">
        <v>169352.81513095452</v>
      </c>
      <c r="AP53" s="206">
        <v>340429.50977174548</v>
      </c>
      <c r="AQ53" s="206">
        <v>170214.75488587277</v>
      </c>
      <c r="AR53" s="206">
        <v>170214.75488587274</v>
      </c>
      <c r="AS53" s="206"/>
      <c r="AT53" s="206">
        <v>340429.50977174559</v>
      </c>
      <c r="AU53" s="206">
        <v>177054.79347688975</v>
      </c>
      <c r="AV53" s="227">
        <v>227330.51222273323</v>
      </c>
      <c r="AW53" s="228">
        <f t="shared" si="10"/>
        <v>1933732.0712092002</v>
      </c>
      <c r="AX53" s="431">
        <f t="shared" si="6"/>
        <v>5744224.9287908003</v>
      </c>
      <c r="AZ53" s="149">
        <f>+(AX52*$AZ$50)/$AY$51</f>
        <v>0.19419360825235743</v>
      </c>
      <c r="BA53" s="207">
        <f>+$AY$50*AZ53</f>
        <v>1055125.3368828949</v>
      </c>
    </row>
    <row r="54" spans="1:53" ht="15">
      <c r="A54" s="573">
        <v>21</v>
      </c>
      <c r="B54" s="575" t="s">
        <v>84</v>
      </c>
      <c r="C54" s="576">
        <v>2312</v>
      </c>
      <c r="D54" s="577">
        <v>11918172</v>
      </c>
      <c r="E54" s="578">
        <f>+D54*$E$31</f>
        <v>8342720.3999999994</v>
      </c>
      <c r="F54" s="579">
        <f>+D54*$F$31</f>
        <v>3575451.6</v>
      </c>
      <c r="G54" s="580"/>
      <c r="H54" s="319">
        <f t="shared" si="7"/>
        <v>11918172</v>
      </c>
      <c r="I54" s="154"/>
      <c r="J54" s="12"/>
      <c r="K54" s="154"/>
      <c r="L54" s="206">
        <v>8342720</v>
      </c>
      <c r="M54" s="206"/>
      <c r="N54" s="206"/>
      <c r="O54" s="212"/>
      <c r="P54" s="212"/>
      <c r="Q54" s="212"/>
      <c r="R54" s="212">
        <v>3575452</v>
      </c>
      <c r="S54" s="212"/>
      <c r="T54" s="248"/>
      <c r="U54" s="235"/>
      <c r="V54" s="206"/>
      <c r="W54" s="206"/>
      <c r="X54" s="206">
        <v>8342720</v>
      </c>
      <c r="Y54" s="206"/>
      <c r="Z54" s="206"/>
      <c r="AA54" s="206"/>
      <c r="AB54" s="206"/>
      <c r="AC54" s="206"/>
      <c r="AD54" s="206">
        <v>3575452</v>
      </c>
      <c r="AE54" s="206"/>
      <c r="AF54" s="206"/>
      <c r="AG54" s="219">
        <f t="shared" si="8"/>
        <v>11918172</v>
      </c>
      <c r="AH54" s="124">
        <f t="shared" si="5"/>
        <v>0</v>
      </c>
      <c r="AK54" s="235"/>
      <c r="AL54" s="206"/>
      <c r="AM54" s="206"/>
      <c r="AN54" s="206">
        <v>3125908</v>
      </c>
      <c r="AO54" s="206"/>
      <c r="AP54" s="206">
        <v>2349230</v>
      </c>
      <c r="AQ54" s="206">
        <v>1149256</v>
      </c>
      <c r="AR54" s="206">
        <v>1145477</v>
      </c>
      <c r="AS54" s="206"/>
      <c r="AT54" s="206">
        <v>2388370</v>
      </c>
      <c r="AU54" s="206">
        <v>1183643</v>
      </c>
      <c r="AV54" s="227">
        <v>1173524</v>
      </c>
      <c r="AW54" s="228">
        <f t="shared" si="10"/>
        <v>12515408</v>
      </c>
      <c r="AX54" s="431">
        <f t="shared" si="6"/>
        <v>-597236</v>
      </c>
      <c r="AZ54" s="149">
        <f>+(AX53*$AZ$50)/$AY$51</f>
        <v>4.1839704622019587E-2</v>
      </c>
      <c r="BA54" s="207">
        <f>+$AY$50*AZ54</f>
        <v>227330.51222273332</v>
      </c>
    </row>
    <row r="55" spans="1:53" ht="15">
      <c r="A55" s="18">
        <v>22</v>
      </c>
      <c r="B55" s="7" t="s">
        <v>85</v>
      </c>
      <c r="C55" s="147"/>
      <c r="D55" s="13"/>
      <c r="E55" s="142"/>
      <c r="F55" s="143"/>
      <c r="G55" s="160"/>
      <c r="H55" s="319">
        <f t="shared" si="7"/>
        <v>0</v>
      </c>
      <c r="I55" s="154"/>
      <c r="J55" s="12"/>
      <c r="K55" s="154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1">
        <f t="shared" si="6"/>
        <v>0</v>
      </c>
      <c r="AZ55" s="149"/>
      <c r="BA55" s="207"/>
    </row>
    <row r="56" spans="1:53" ht="15">
      <c r="A56" s="573">
        <v>23</v>
      </c>
      <c r="B56" s="575" t="s">
        <v>86</v>
      </c>
      <c r="C56" s="576">
        <v>1727</v>
      </c>
      <c r="D56" s="577">
        <v>29896000</v>
      </c>
      <c r="E56" s="578">
        <f>+D56*E31</f>
        <v>20927200</v>
      </c>
      <c r="F56" s="579">
        <f>+D56*F31</f>
        <v>8968800</v>
      </c>
      <c r="G56" s="580"/>
      <c r="H56" s="319">
        <f t="shared" si="7"/>
        <v>29896000</v>
      </c>
      <c r="I56" s="154"/>
      <c r="J56" s="12"/>
      <c r="K56" s="154">
        <v>20927200</v>
      </c>
      <c r="L56" s="206"/>
      <c r="M56" s="206"/>
      <c r="N56" s="206"/>
      <c r="O56" s="212"/>
      <c r="P56" s="212"/>
      <c r="Q56" s="212"/>
      <c r="R56" s="212">
        <v>8968800</v>
      </c>
      <c r="S56" s="212"/>
      <c r="T56" s="248"/>
      <c r="U56" s="235"/>
      <c r="V56" s="206"/>
      <c r="W56" s="206">
        <v>20927200</v>
      </c>
      <c r="X56" s="206"/>
      <c r="Y56" s="206"/>
      <c r="Z56" s="206"/>
      <c r="AA56" s="206"/>
      <c r="AB56" s="206"/>
      <c r="AC56" s="206"/>
      <c r="AD56" s="206">
        <v>8968800</v>
      </c>
      <c r="AE56" s="206"/>
      <c r="AF56" s="206"/>
      <c r="AG56" s="219">
        <f t="shared" si="8"/>
        <v>29896000</v>
      </c>
      <c r="AH56" s="124">
        <f t="shared" si="5"/>
        <v>0</v>
      </c>
      <c r="AK56" s="235"/>
      <c r="AL56" s="206"/>
      <c r="AM56" s="206"/>
      <c r="AN56" s="206">
        <v>4865980</v>
      </c>
      <c r="AO56" s="206">
        <v>2432990</v>
      </c>
      <c r="AP56" s="206">
        <v>4865980</v>
      </c>
      <c r="AQ56" s="206">
        <v>2432990</v>
      </c>
      <c r="AR56" s="206">
        <v>2432990</v>
      </c>
      <c r="AS56" s="206"/>
      <c r="AT56" s="206">
        <v>4865980</v>
      </c>
      <c r="AU56" s="206">
        <v>2552252</v>
      </c>
      <c r="AV56" s="227">
        <v>2509080</v>
      </c>
      <c r="AW56" s="228">
        <f t="shared" si="10"/>
        <v>26958242</v>
      </c>
      <c r="AX56" s="431">
        <f t="shared" si="6"/>
        <v>2937758</v>
      </c>
      <c r="AZ56" s="149"/>
    </row>
    <row r="57" spans="1:53" ht="15">
      <c r="A57" s="573">
        <v>24</v>
      </c>
      <c r="B57" s="575" t="s">
        <v>87</v>
      </c>
      <c r="C57" s="576">
        <v>2310</v>
      </c>
      <c r="D57" s="577">
        <v>36295210</v>
      </c>
      <c r="E57" s="578">
        <f>+D57*E31</f>
        <v>25406647</v>
      </c>
      <c r="F57" s="579">
        <f>+D57*F31</f>
        <v>10888563</v>
      </c>
      <c r="G57" s="580"/>
      <c r="H57" s="319">
        <f t="shared" si="7"/>
        <v>36295210</v>
      </c>
      <c r="I57" s="154"/>
      <c r="J57" s="12"/>
      <c r="K57" s="154"/>
      <c r="L57" s="206">
        <v>25406647</v>
      </c>
      <c r="M57" s="206"/>
      <c r="N57" s="206"/>
      <c r="O57" s="212"/>
      <c r="P57" s="212"/>
      <c r="Q57" s="212"/>
      <c r="R57" s="212">
        <v>10888563</v>
      </c>
      <c r="S57" s="212"/>
      <c r="T57" s="248"/>
      <c r="U57" s="235"/>
      <c r="V57" s="206"/>
      <c r="W57" s="206"/>
      <c r="X57" s="206">
        <v>25406647</v>
      </c>
      <c r="Y57" s="206"/>
      <c r="Z57" s="206"/>
      <c r="AA57" s="206"/>
      <c r="AB57" s="206"/>
      <c r="AC57" s="206"/>
      <c r="AD57" s="206">
        <v>10888563</v>
      </c>
      <c r="AE57" s="206"/>
      <c r="AF57" s="206"/>
      <c r="AG57" s="219">
        <f t="shared" si="8"/>
        <v>36295210</v>
      </c>
      <c r="AH57" s="124">
        <f t="shared" si="5"/>
        <v>0</v>
      </c>
      <c r="AK57" s="235"/>
      <c r="AL57" s="206"/>
      <c r="AM57" s="206">
        <v>0</v>
      </c>
      <c r="AN57" s="206">
        <v>7838604</v>
      </c>
      <c r="AO57" s="206"/>
      <c r="AP57" s="206">
        <v>5225736</v>
      </c>
      <c r="AQ57" s="206">
        <v>2612868</v>
      </c>
      <c r="AR57" s="206">
        <v>2652868</v>
      </c>
      <c r="AS57" s="206"/>
      <c r="AT57" s="206">
        <v>5732831</v>
      </c>
      <c r="AU57" s="206">
        <v>2889498</v>
      </c>
      <c r="AV57" s="227"/>
      <c r="AW57" s="228">
        <f t="shared" si="10"/>
        <v>26952405</v>
      </c>
      <c r="AX57" s="431">
        <f t="shared" si="6"/>
        <v>9342805</v>
      </c>
      <c r="AZ57" s="149"/>
    </row>
    <row r="58" spans="1:53" s="190" customFormat="1" ht="28.5">
      <c r="A58" s="573">
        <v>25</v>
      </c>
      <c r="B58" s="595" t="s">
        <v>109</v>
      </c>
      <c r="C58" s="603">
        <v>2311</v>
      </c>
      <c r="D58" s="597">
        <v>18784280</v>
      </c>
      <c r="E58" s="598">
        <f>+D58*E31</f>
        <v>13148996</v>
      </c>
      <c r="F58" s="599">
        <f>+D58*F31</f>
        <v>5635284</v>
      </c>
      <c r="G58" s="600"/>
      <c r="H58" s="349">
        <f t="shared" si="7"/>
        <v>18784280</v>
      </c>
      <c r="I58" s="188"/>
      <c r="J58" s="187"/>
      <c r="K58" s="188"/>
      <c r="L58" s="231"/>
      <c r="M58" s="231">
        <v>13148996</v>
      </c>
      <c r="N58" s="231"/>
      <c r="O58" s="212"/>
      <c r="P58" s="212"/>
      <c r="Q58" s="212"/>
      <c r="R58" s="212">
        <v>5635284</v>
      </c>
      <c r="S58" s="212"/>
      <c r="T58" s="248"/>
      <c r="U58" s="238"/>
      <c r="V58" s="231"/>
      <c r="W58" s="231"/>
      <c r="X58" s="231"/>
      <c r="Y58" s="231">
        <v>13148996</v>
      </c>
      <c r="Z58" s="231"/>
      <c r="AA58" s="231"/>
      <c r="AB58" s="231"/>
      <c r="AC58" s="231"/>
      <c r="AD58" s="231">
        <v>5635284</v>
      </c>
      <c r="AE58" s="231"/>
      <c r="AF58" s="231"/>
      <c r="AG58" s="359">
        <f t="shared" si="8"/>
        <v>18784280</v>
      </c>
      <c r="AH58" s="350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36"/>
      <c r="AW58" s="450">
        <f t="shared" si="10"/>
        <v>0</v>
      </c>
      <c r="AX58" s="431">
        <f t="shared" si="6"/>
        <v>18784280</v>
      </c>
    </row>
    <row r="59" spans="1:53" ht="15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7"/>
        <v>0</v>
      </c>
      <c r="I59" s="154"/>
      <c r="J59" s="12"/>
      <c r="K59" s="154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6"/>
        <v>0</v>
      </c>
    </row>
    <row r="60" spans="1:53" ht="15">
      <c r="A60" s="573">
        <v>27</v>
      </c>
      <c r="B60" s="575" t="s">
        <v>89</v>
      </c>
      <c r="C60" s="576">
        <v>1594</v>
      </c>
      <c r="D60" s="577">
        <v>276894504</v>
      </c>
      <c r="E60" s="578">
        <f>+D60*G31</f>
        <v>23074542</v>
      </c>
      <c r="F60" s="579">
        <f>+D60*G31</f>
        <v>23074542</v>
      </c>
      <c r="G60" s="580">
        <f>G31*D60</f>
        <v>23074542</v>
      </c>
      <c r="H60" s="319">
        <f t="shared" si="7"/>
        <v>276894504</v>
      </c>
      <c r="I60" s="154"/>
      <c r="J60" s="12"/>
      <c r="K60" s="154">
        <v>69223626</v>
      </c>
      <c r="L60" s="206">
        <v>23074542</v>
      </c>
      <c r="M60" s="206">
        <v>23074542</v>
      </c>
      <c r="N60" s="206">
        <v>23074542</v>
      </c>
      <c r="O60" s="212">
        <v>23074542</v>
      </c>
      <c r="P60" s="212">
        <v>23074542</v>
      </c>
      <c r="Q60" s="212">
        <v>23074542</v>
      </c>
      <c r="R60" s="212">
        <v>23074542</v>
      </c>
      <c r="S60" s="212">
        <v>23074542</v>
      </c>
      <c r="T60" s="248">
        <v>23074542</v>
      </c>
      <c r="U60" s="235"/>
      <c r="V60" s="206"/>
      <c r="W60" s="206">
        <v>69223626</v>
      </c>
      <c r="X60" s="206">
        <v>23074542</v>
      </c>
      <c r="Y60" s="206">
        <v>23074542</v>
      </c>
      <c r="Z60" s="206"/>
      <c r="AA60" s="206"/>
      <c r="AB60" s="206">
        <v>23074542</v>
      </c>
      <c r="AC60" s="206">
        <f>46149084+23074542</f>
        <v>69223626</v>
      </c>
      <c r="AD60" s="206">
        <v>23074542</v>
      </c>
      <c r="AE60" s="206"/>
      <c r="AF60" s="206">
        <v>23074542</v>
      </c>
      <c r="AG60" s="219">
        <f t="shared" si="8"/>
        <v>253819962</v>
      </c>
      <c r="AH60" s="124">
        <f t="shared" si="5"/>
        <v>23074542</v>
      </c>
      <c r="AK60" s="235">
        <v>0</v>
      </c>
      <c r="AL60" s="206"/>
      <c r="AM60" s="206"/>
      <c r="AN60" s="206">
        <v>7533323</v>
      </c>
      <c r="AO60" s="206">
        <v>49593988</v>
      </c>
      <c r="AP60" s="206">
        <v>26207012</v>
      </c>
      <c r="AQ60" s="206"/>
      <c r="AR60" s="206">
        <v>70596103</v>
      </c>
      <c r="AS60" s="206"/>
      <c r="AT60" s="206">
        <v>46717139</v>
      </c>
      <c r="AU60" s="206">
        <v>13254566</v>
      </c>
      <c r="AV60" s="227">
        <v>26496820</v>
      </c>
      <c r="AW60" s="228">
        <f t="shared" si="10"/>
        <v>240398951</v>
      </c>
      <c r="AX60" s="431">
        <f t="shared" si="6"/>
        <v>13421011</v>
      </c>
    </row>
    <row r="61" spans="1:53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7"/>
        <v>0</v>
      </c>
      <c r="I61" s="154"/>
      <c r="J61" s="12"/>
      <c r="K61" s="154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1">
        <f t="shared" si="6"/>
        <v>0</v>
      </c>
    </row>
    <row r="62" spans="1:53" ht="15" customHeight="1">
      <c r="A62" s="18">
        <v>29</v>
      </c>
      <c r="B62" s="7" t="s">
        <v>103</v>
      </c>
      <c r="C62" s="147"/>
      <c r="D62" s="13"/>
      <c r="E62" s="142"/>
      <c r="F62" s="143"/>
      <c r="G62" s="160"/>
      <c r="H62" s="319">
        <f t="shared" si="7"/>
        <v>0</v>
      </c>
      <c r="I62" s="154"/>
      <c r="J62" s="12"/>
      <c r="K62" s="154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1">
        <f t="shared" si="6"/>
        <v>0</v>
      </c>
    </row>
    <row r="63" spans="1:53" ht="15">
      <c r="A63" s="573">
        <v>30</v>
      </c>
      <c r="B63" s="575" t="s">
        <v>90</v>
      </c>
      <c r="C63" s="576">
        <v>2308</v>
      </c>
      <c r="D63" s="577">
        <v>255084549</v>
      </c>
      <c r="E63" s="578">
        <f>+D63*E31</f>
        <v>178559184.29999998</v>
      </c>
      <c r="F63" s="579">
        <f>+D63*F31</f>
        <v>76525364.700000003</v>
      </c>
      <c r="G63" s="580"/>
      <c r="H63" s="319">
        <f t="shared" si="7"/>
        <v>255084549</v>
      </c>
      <c r="I63" s="154"/>
      <c r="J63" s="12"/>
      <c r="K63" s="154"/>
      <c r="L63" s="206">
        <v>178559184</v>
      </c>
      <c r="M63" s="206"/>
      <c r="N63" s="206"/>
      <c r="O63" s="212"/>
      <c r="P63" s="212"/>
      <c r="Q63" s="212"/>
      <c r="R63" s="212">
        <v>76525365</v>
      </c>
      <c r="S63" s="212"/>
      <c r="T63" s="248"/>
      <c r="U63" s="235"/>
      <c r="V63" s="206"/>
      <c r="W63" s="206"/>
      <c r="X63" s="206">
        <v>178559184</v>
      </c>
      <c r="Y63" s="206"/>
      <c r="Z63" s="206"/>
      <c r="AA63" s="206"/>
      <c r="AB63" s="206"/>
      <c r="AC63" s="206"/>
      <c r="AD63" s="206">
        <v>76525365</v>
      </c>
      <c r="AE63" s="206"/>
      <c r="AF63" s="206"/>
      <c r="AG63" s="219">
        <f t="shared" si="8"/>
        <v>255084549</v>
      </c>
      <c r="AH63" s="124">
        <f t="shared" si="5"/>
        <v>0</v>
      </c>
      <c r="AK63" s="235"/>
      <c r="AL63" s="206"/>
      <c r="AM63" s="206"/>
      <c r="AN63" s="206">
        <v>58994605</v>
      </c>
      <c r="AO63" s="206"/>
      <c r="AP63" s="206">
        <v>3201068</v>
      </c>
      <c r="AQ63" s="206">
        <v>36180689</v>
      </c>
      <c r="AR63" s="206">
        <v>18043857</v>
      </c>
      <c r="AS63" s="206">
        <v>43051583</v>
      </c>
      <c r="AT63" s="206">
        <v>9737531</v>
      </c>
      <c r="AU63" s="206"/>
      <c r="AV63" s="227">
        <v>11292562</v>
      </c>
      <c r="AW63" s="228">
        <f t="shared" si="10"/>
        <v>180501895</v>
      </c>
      <c r="AX63" s="431">
        <f t="shared" si="6"/>
        <v>74582654</v>
      </c>
    </row>
    <row r="64" spans="1:53" ht="15">
      <c r="A64" s="573">
        <v>31</v>
      </c>
      <c r="B64" s="575" t="s">
        <v>91</v>
      </c>
      <c r="C64" s="576">
        <v>1604</v>
      </c>
      <c r="D64" s="577">
        <v>24767635</v>
      </c>
      <c r="E64" s="578">
        <f>+D64*E31</f>
        <v>17337344.5</v>
      </c>
      <c r="F64" s="579">
        <f>+D64*F31</f>
        <v>7430290.5</v>
      </c>
      <c r="G64" s="580"/>
      <c r="H64" s="319">
        <f t="shared" si="7"/>
        <v>24767635</v>
      </c>
      <c r="I64" s="154"/>
      <c r="J64" s="12"/>
      <c r="K64" s="154">
        <v>17337344</v>
      </c>
      <c r="L64" s="206"/>
      <c r="M64" s="206"/>
      <c r="N64" s="206"/>
      <c r="O64" s="212"/>
      <c r="P64" s="212"/>
      <c r="Q64" s="212"/>
      <c r="R64" s="212">
        <v>7430291</v>
      </c>
      <c r="S64" s="212"/>
      <c r="T64" s="248"/>
      <c r="U64" s="235"/>
      <c r="V64" s="206"/>
      <c r="W64" s="206">
        <v>17337344</v>
      </c>
      <c r="X64" s="206"/>
      <c r="Y64" s="206"/>
      <c r="Z64" s="206"/>
      <c r="AA64" s="206"/>
      <c r="AB64" s="206"/>
      <c r="AC64" s="206"/>
      <c r="AD64" s="206"/>
      <c r="AE64" s="206">
        <v>7430291</v>
      </c>
      <c r="AF64" s="206"/>
      <c r="AG64" s="219">
        <f t="shared" si="8"/>
        <v>24767635</v>
      </c>
      <c r="AH64" s="124">
        <f t="shared" si="5"/>
        <v>0</v>
      </c>
      <c r="AK64" s="235"/>
      <c r="AL64" s="206"/>
      <c r="AM64" s="206"/>
      <c r="AN64" s="206">
        <v>4762974</v>
      </c>
      <c r="AO64" s="206">
        <v>2381487</v>
      </c>
      <c r="AP64" s="206">
        <v>4762974</v>
      </c>
      <c r="AQ64" s="206">
        <v>2381487</v>
      </c>
      <c r="AR64" s="206">
        <v>2381487</v>
      </c>
      <c r="AS64" s="206"/>
      <c r="AT64" s="206">
        <v>4762974</v>
      </c>
      <c r="AU64" s="206">
        <v>2437589</v>
      </c>
      <c r="AV64" s="227">
        <v>2437589</v>
      </c>
      <c r="AW64" s="228">
        <f t="shared" si="10"/>
        <v>26308561</v>
      </c>
      <c r="AX64" s="431">
        <f t="shared" si="6"/>
        <v>-1540926</v>
      </c>
    </row>
    <row r="65" spans="1:50" ht="15">
      <c r="A65" s="573">
        <v>32</v>
      </c>
      <c r="B65" s="575" t="s">
        <v>92</v>
      </c>
      <c r="C65" s="576">
        <v>1379</v>
      </c>
      <c r="D65" s="577">
        <v>15399006</v>
      </c>
      <c r="E65" s="578">
        <f>+D65*E31</f>
        <v>10779304.199999999</v>
      </c>
      <c r="F65" s="579">
        <f>+D65*F31</f>
        <v>4619701.8</v>
      </c>
      <c r="G65" s="580"/>
      <c r="H65" s="319">
        <f t="shared" si="7"/>
        <v>15399006</v>
      </c>
      <c r="I65" s="154"/>
      <c r="J65" s="12"/>
      <c r="K65" s="154">
        <v>10779304.199999999</v>
      </c>
      <c r="L65" s="206"/>
      <c r="M65" s="206"/>
      <c r="N65" s="206"/>
      <c r="O65" s="212"/>
      <c r="P65" s="212"/>
      <c r="Q65" s="212"/>
      <c r="R65" s="212">
        <v>4619701.8000000007</v>
      </c>
      <c r="S65" s="212"/>
      <c r="T65" s="248"/>
      <c r="U65" s="235"/>
      <c r="V65" s="206"/>
      <c r="W65" s="206">
        <v>10779304</v>
      </c>
      <c r="X65" s="206"/>
      <c r="Y65" s="206"/>
      <c r="Z65" s="206"/>
      <c r="AA65" s="206"/>
      <c r="AB65" s="206"/>
      <c r="AC65" s="206"/>
      <c r="AD65" s="206">
        <v>4619701.8000000007</v>
      </c>
      <c r="AE65" s="206"/>
      <c r="AF65" s="206"/>
      <c r="AG65" s="219">
        <f t="shared" si="8"/>
        <v>15399005.800000001</v>
      </c>
      <c r="AH65" s="124">
        <f t="shared" si="5"/>
        <v>0.19999999925494194</v>
      </c>
      <c r="AK65" s="235"/>
      <c r="AL65" s="206"/>
      <c r="AM65" s="206"/>
      <c r="AN65" s="206"/>
      <c r="AO65" s="206">
        <v>1174871</v>
      </c>
      <c r="AP65" s="206">
        <v>2367358</v>
      </c>
      <c r="AQ65" s="206">
        <v>1192487</v>
      </c>
      <c r="AR65" s="206">
        <v>1192487</v>
      </c>
      <c r="AS65" s="206"/>
      <c r="AT65" s="206">
        <v>2384974</v>
      </c>
      <c r="AU65" s="206">
        <v>1205537</v>
      </c>
      <c r="AV65" s="227">
        <v>1205537</v>
      </c>
      <c r="AW65" s="228">
        <f t="shared" si="10"/>
        <v>10723251</v>
      </c>
      <c r="AX65" s="431">
        <f t="shared" si="6"/>
        <v>4675754.8000000007</v>
      </c>
    </row>
    <row r="66" spans="1:50" ht="15">
      <c r="A66" s="573">
        <v>33</v>
      </c>
      <c r="B66" s="568" t="s">
        <v>107</v>
      </c>
      <c r="C66" s="569">
        <v>2313</v>
      </c>
      <c r="D66" s="567">
        <v>18494595</v>
      </c>
      <c r="E66" s="563">
        <f>+D66*E31</f>
        <v>12946216.5</v>
      </c>
      <c r="F66" s="564">
        <f>+D66*F31</f>
        <v>5548378.5</v>
      </c>
      <c r="G66" s="565"/>
      <c r="H66" s="319">
        <f t="shared" si="7"/>
        <v>18494595</v>
      </c>
      <c r="I66" s="155"/>
      <c r="J66" s="54"/>
      <c r="K66" s="155"/>
      <c r="L66" s="210">
        <v>12946216</v>
      </c>
      <c r="M66" s="210"/>
      <c r="N66" s="210"/>
      <c r="O66" s="212"/>
      <c r="P66" s="212"/>
      <c r="Q66" s="212"/>
      <c r="R66" s="212">
        <v>5548379</v>
      </c>
      <c r="S66" s="212"/>
      <c r="T66" s="248"/>
      <c r="U66" s="236"/>
      <c r="V66" s="210"/>
      <c r="W66" s="210"/>
      <c r="X66" s="210">
        <v>12946216</v>
      </c>
      <c r="Y66" s="210"/>
      <c r="Z66" s="210"/>
      <c r="AA66" s="210"/>
      <c r="AB66" s="210"/>
      <c r="AC66" s="210"/>
      <c r="AD66" s="210">
        <v>5548379</v>
      </c>
      <c r="AE66" s="210"/>
      <c r="AF66" s="210"/>
      <c r="AG66" s="219">
        <f t="shared" si="8"/>
        <v>18494595</v>
      </c>
      <c r="AH66" s="124">
        <f t="shared" si="5"/>
        <v>0</v>
      </c>
      <c r="AK66" s="236"/>
      <c r="AL66" s="210"/>
      <c r="AM66" s="210"/>
      <c r="AN66" s="210">
        <v>4545678</v>
      </c>
      <c r="AO66" s="210"/>
      <c r="AP66" s="210">
        <v>3030452</v>
      </c>
      <c r="AQ66" s="210">
        <v>1515226</v>
      </c>
      <c r="AR66" s="210">
        <v>1535226</v>
      </c>
      <c r="AS66" s="210"/>
      <c r="AT66" s="210">
        <v>3108426</v>
      </c>
      <c r="AU66" s="210">
        <v>1612618</v>
      </c>
      <c r="AV66" s="229">
        <v>1612618</v>
      </c>
      <c r="AW66" s="228">
        <f t="shared" si="10"/>
        <v>16960244</v>
      </c>
      <c r="AX66" s="431">
        <f t="shared" si="6"/>
        <v>1534351</v>
      </c>
    </row>
    <row r="67" spans="1:50" ht="15">
      <c r="A67" s="573">
        <v>34</v>
      </c>
      <c r="B67" s="568" t="s">
        <v>180</v>
      </c>
      <c r="C67" s="569" t="s">
        <v>306</v>
      </c>
      <c r="D67" s="567">
        <f>33652581+172540000+15642324+123662894+51818061</f>
        <v>397315860</v>
      </c>
      <c r="E67" s="563">
        <v>23556806.699999999</v>
      </c>
      <c r="F67" s="564">
        <v>10095774.299999999</v>
      </c>
      <c r="G67" s="565">
        <f>172540000+15642324+123662894</f>
        <v>311845218</v>
      </c>
      <c r="H67" s="319">
        <f t="shared" si="7"/>
        <v>397315860</v>
      </c>
      <c r="I67" s="155"/>
      <c r="J67" s="54"/>
      <c r="K67" s="155">
        <v>44830110</v>
      </c>
      <c r="L67" s="210"/>
      <c r="M67" s="210">
        <f>3321711+120778000</f>
        <v>124099711</v>
      </c>
      <c r="N67" s="210"/>
      <c r="O67" s="212"/>
      <c r="P67" s="212">
        <v>86564026</v>
      </c>
      <c r="Q67" s="212"/>
      <c r="R67" s="212">
        <f>67661754+22342198</f>
        <v>90003952</v>
      </c>
      <c r="S67" s="212">
        <v>51818061</v>
      </c>
      <c r="T67" s="248"/>
      <c r="U67" s="236"/>
      <c r="V67" s="210"/>
      <c r="W67" s="210">
        <v>44830110</v>
      </c>
      <c r="X67" s="210"/>
      <c r="Y67" s="210">
        <f>3321711+120778000</f>
        <v>124099711</v>
      </c>
      <c r="Z67" s="210"/>
      <c r="AA67" s="210"/>
      <c r="AB67" s="210">
        <v>86564026</v>
      </c>
      <c r="AC67" s="210"/>
      <c r="AD67" s="210">
        <f>67661754+22342189</f>
        <v>90003943</v>
      </c>
      <c r="AE67" s="210">
        <f>51818061+9</f>
        <v>51818070</v>
      </c>
      <c r="AF67" s="210"/>
      <c r="AG67" s="219">
        <f t="shared" si="8"/>
        <v>397315860</v>
      </c>
      <c r="AH67" s="124">
        <f t="shared" si="5"/>
        <v>0</v>
      </c>
      <c r="AK67" s="236"/>
      <c r="AL67" s="210"/>
      <c r="AM67" s="210"/>
      <c r="AN67" s="210">
        <v>9092368</v>
      </c>
      <c r="AO67" s="210"/>
      <c r="AP67" s="210">
        <v>20726547</v>
      </c>
      <c r="AQ67" s="210">
        <v>51649561</v>
      </c>
      <c r="AR67" s="210">
        <v>40538577</v>
      </c>
      <c r="AS67" s="210"/>
      <c r="AT67" s="210">
        <v>81298798</v>
      </c>
      <c r="AU67" s="210">
        <v>28822234</v>
      </c>
      <c r="AV67" s="229">
        <v>44862494</v>
      </c>
      <c r="AW67" s="228">
        <f t="shared" si="10"/>
        <v>276990579</v>
      </c>
      <c r="AX67" s="431">
        <f t="shared" si="6"/>
        <v>120325281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si="7"/>
        <v>0</v>
      </c>
      <c r="I68" s="155"/>
      <c r="J68" s="54"/>
      <c r="K68" s="155">
        <v>0</v>
      </c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si="5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1">
        <f t="shared" si="6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19">
        <f t="shared" si="7"/>
        <v>0</v>
      </c>
      <c r="I69" s="155"/>
      <c r="J69" s="54"/>
      <c r="K69" s="155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5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1">
        <f t="shared" si="6"/>
        <v>0</v>
      </c>
    </row>
    <row r="70" spans="1:50" ht="15">
      <c r="A70" s="573">
        <v>37</v>
      </c>
      <c r="B70" s="568" t="s">
        <v>132</v>
      </c>
      <c r="C70" s="569">
        <v>2255</v>
      </c>
      <c r="D70" s="567">
        <v>67367652</v>
      </c>
      <c r="E70" s="563">
        <f>+D70*0.5</f>
        <v>33683826</v>
      </c>
      <c r="F70" s="564">
        <f>+D70*0.25</f>
        <v>16841913</v>
      </c>
      <c r="G70" s="565">
        <f>+D70*0.25</f>
        <v>16841913</v>
      </c>
      <c r="H70" s="319">
        <f t="shared" si="7"/>
        <v>67367652</v>
      </c>
      <c r="I70" s="155"/>
      <c r="J70" s="54"/>
      <c r="K70" s="155"/>
      <c r="L70" s="210"/>
      <c r="M70" s="210">
        <v>33683826</v>
      </c>
      <c r="N70" s="210"/>
      <c r="O70" s="212"/>
      <c r="P70" s="212">
        <v>16841913</v>
      </c>
      <c r="Q70" s="212"/>
      <c r="R70" s="212">
        <v>16841913</v>
      </c>
      <c r="S70" s="212"/>
      <c r="T70" s="248"/>
      <c r="U70" s="236"/>
      <c r="V70" s="210"/>
      <c r="W70" s="210"/>
      <c r="X70" s="210"/>
      <c r="Y70" s="210">
        <v>33683826</v>
      </c>
      <c r="Z70" s="210"/>
      <c r="AA70" s="210"/>
      <c r="AB70" s="210"/>
      <c r="AC70" s="210">
        <v>16841913</v>
      </c>
      <c r="AD70" s="210">
        <v>16841913</v>
      </c>
      <c r="AE70" s="210"/>
      <c r="AF70" s="210"/>
      <c r="AG70" s="219">
        <f t="shared" si="11"/>
        <v>67367652</v>
      </c>
      <c r="AH70" s="124">
        <f t="shared" si="5"/>
        <v>0</v>
      </c>
      <c r="AK70" s="236"/>
      <c r="AL70" s="236"/>
      <c r="AM70" s="210"/>
      <c r="AN70" s="210">
        <v>4827948</v>
      </c>
      <c r="AO70" s="210">
        <v>4827948</v>
      </c>
      <c r="AP70" s="210">
        <v>9655893</v>
      </c>
      <c r="AQ70" s="210">
        <v>4827946</v>
      </c>
      <c r="AR70" s="210">
        <v>4827946</v>
      </c>
      <c r="AS70" s="210"/>
      <c r="AT70" s="210">
        <v>9808072</v>
      </c>
      <c r="AU70" s="210">
        <v>4904036</v>
      </c>
      <c r="AV70" s="229">
        <v>4904036</v>
      </c>
      <c r="AW70" s="228">
        <f>SUM(AK70:AV70)</f>
        <v>48583825</v>
      </c>
      <c r="AX70" s="431">
        <f t="shared" si="6"/>
        <v>18783827</v>
      </c>
    </row>
    <row r="71" spans="1:50" ht="15">
      <c r="A71" s="573">
        <v>38</v>
      </c>
      <c r="B71" s="568" t="s">
        <v>129</v>
      </c>
      <c r="C71" s="569">
        <v>2795</v>
      </c>
      <c r="D71" s="567">
        <v>8444674</v>
      </c>
      <c r="E71" s="563">
        <f>+D71*0.7</f>
        <v>5911271.7999999998</v>
      </c>
      <c r="F71" s="564">
        <f>+D71*0.3</f>
        <v>2533402.1999999997</v>
      </c>
      <c r="G71" s="565"/>
      <c r="H71" s="319">
        <f t="shared" si="7"/>
        <v>8444674</v>
      </c>
      <c r="I71" s="155"/>
      <c r="J71" s="54"/>
      <c r="K71" s="155"/>
      <c r="L71" s="210"/>
      <c r="M71" s="210">
        <v>5911272</v>
      </c>
      <c r="N71" s="210"/>
      <c r="O71" s="212"/>
      <c r="P71" s="212"/>
      <c r="Q71" s="212"/>
      <c r="R71" s="212"/>
      <c r="S71" s="212">
        <v>2533402</v>
      </c>
      <c r="T71" s="248"/>
      <c r="U71" s="236"/>
      <c r="V71" s="210"/>
      <c r="W71" s="210"/>
      <c r="X71" s="210"/>
      <c r="Y71" s="210">
        <v>5911272</v>
      </c>
      <c r="Z71" s="210"/>
      <c r="AA71" s="210"/>
      <c r="AB71" s="210"/>
      <c r="AC71" s="210"/>
      <c r="AD71" s="210"/>
      <c r="AE71" s="210">
        <v>2533402</v>
      </c>
      <c r="AF71" s="210"/>
      <c r="AG71" s="219">
        <f t="shared" si="11"/>
        <v>8444674</v>
      </c>
      <c r="AH71" s="124">
        <f t="shared" si="5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1">
        <f t="shared" si="6"/>
        <v>8444674</v>
      </c>
    </row>
    <row r="72" spans="1:50" ht="15">
      <c r="A72" s="573">
        <v>39</v>
      </c>
      <c r="B72" s="568" t="s">
        <v>133</v>
      </c>
      <c r="C72" s="569">
        <v>2213</v>
      </c>
      <c r="D72" s="567">
        <v>2413260</v>
      </c>
      <c r="E72" s="563">
        <v>804420</v>
      </c>
      <c r="F72" s="564">
        <v>804420</v>
      </c>
      <c r="G72" s="565">
        <v>804420</v>
      </c>
      <c r="H72" s="319">
        <f t="shared" si="7"/>
        <v>2413260</v>
      </c>
      <c r="I72" s="155"/>
      <c r="J72" s="54"/>
      <c r="K72" s="155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1"/>
        <v>796375.8</v>
      </c>
      <c r="AH72" s="124">
        <f t="shared" si="5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>
        <v>2534785</v>
      </c>
      <c r="AV72" s="229"/>
      <c r="AW72" s="228">
        <f t="shared" si="12"/>
        <v>2534785</v>
      </c>
      <c r="AX72" s="431">
        <f t="shared" si="6"/>
        <v>-1738409.2</v>
      </c>
    </row>
    <row r="73" spans="1:50" ht="15">
      <c r="A73" s="573">
        <v>40</v>
      </c>
      <c r="B73" s="568" t="s">
        <v>134</v>
      </c>
      <c r="C73" s="569">
        <v>2205</v>
      </c>
      <c r="D73" s="567">
        <v>11130964</v>
      </c>
      <c r="E73" s="563">
        <f>+D73*$H$31</f>
        <v>3710321.333333333</v>
      </c>
      <c r="F73" s="564">
        <f>+D73*$H$31</f>
        <v>3710321.333333333</v>
      </c>
      <c r="G73" s="565">
        <f>+D73*$H$31</f>
        <v>3710321.333333333</v>
      </c>
      <c r="H73" s="319">
        <f t="shared" si="7"/>
        <v>11130964</v>
      </c>
      <c r="I73" s="155"/>
      <c r="J73" s="54"/>
      <c r="K73" s="155"/>
      <c r="L73" s="210"/>
      <c r="M73" s="210"/>
      <c r="N73" s="210"/>
      <c r="O73" s="212"/>
      <c r="P73" s="212"/>
      <c r="Q73" s="212"/>
      <c r="R73" s="212">
        <v>11130964</v>
      </c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>
        <v>3673218.12</v>
      </c>
      <c r="AG73" s="219">
        <f t="shared" si="11"/>
        <v>3673218.12</v>
      </c>
      <c r="AH73" s="124">
        <f t="shared" si="5"/>
        <v>7457745.8799999999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>
        <v>4359327</v>
      </c>
      <c r="AU73" s="210"/>
      <c r="AV73" s="229">
        <v>2686637</v>
      </c>
      <c r="AW73" s="228">
        <f t="shared" si="12"/>
        <v>7045964</v>
      </c>
      <c r="AX73" s="431">
        <f t="shared" si="6"/>
        <v>-3372745.88</v>
      </c>
    </row>
    <row r="74" spans="1:50" ht="15">
      <c r="A74" s="573">
        <v>41</v>
      </c>
      <c r="B74" s="568" t="s">
        <v>135</v>
      </c>
      <c r="C74" s="569">
        <v>2194</v>
      </c>
      <c r="D74" s="567">
        <v>6076992</v>
      </c>
      <c r="E74" s="563">
        <f>+D74*$H$31</f>
        <v>2025664</v>
      </c>
      <c r="F74" s="564">
        <f>+D74*$H$31</f>
        <v>2025664</v>
      </c>
      <c r="G74" s="565">
        <f>+D74*$H$31</f>
        <v>2025664</v>
      </c>
      <c r="H74" s="319">
        <f t="shared" si="7"/>
        <v>2025664</v>
      </c>
      <c r="I74" s="155"/>
      <c r="J74" s="54"/>
      <c r="K74" s="155"/>
      <c r="L74" s="210"/>
      <c r="M74" s="210"/>
      <c r="N74" s="210"/>
      <c r="O74" s="212"/>
      <c r="P74" s="212"/>
      <c r="Q74" s="206"/>
      <c r="R74" s="212">
        <v>2025664</v>
      </c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>
        <v>668469.12</v>
      </c>
      <c r="AG74" s="219">
        <f t="shared" si="11"/>
        <v>668469.12</v>
      </c>
      <c r="AH74" s="124">
        <f t="shared" si="5"/>
        <v>1357194.88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>
        <v>2105443</v>
      </c>
      <c r="AU74" s="210">
        <v>670874</v>
      </c>
      <c r="AV74" s="229">
        <v>1071143</v>
      </c>
      <c r="AW74" s="228">
        <f t="shared" si="12"/>
        <v>3847460</v>
      </c>
      <c r="AX74" s="431">
        <f t="shared" si="6"/>
        <v>-3178990.88</v>
      </c>
    </row>
    <row r="75" spans="1:50" ht="15">
      <c r="A75" s="573">
        <v>42</v>
      </c>
      <c r="B75" s="568" t="s">
        <v>171</v>
      </c>
      <c r="C75" s="569" t="s">
        <v>200</v>
      </c>
      <c r="D75" s="567">
        <v>3782029</v>
      </c>
      <c r="E75" s="736" t="s">
        <v>172</v>
      </c>
      <c r="F75" s="737"/>
      <c r="G75" s="738"/>
      <c r="H75" s="319">
        <f t="shared" si="7"/>
        <v>3782029</v>
      </c>
      <c r="I75" s="155"/>
      <c r="J75" s="54"/>
      <c r="K75" s="155"/>
      <c r="L75" s="210"/>
      <c r="M75" s="210"/>
      <c r="N75" s="210"/>
      <c r="O75" s="212"/>
      <c r="P75" s="212"/>
      <c r="Q75" s="9">
        <v>3782029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3">SUM(U75:AF75)</f>
        <v>0</v>
      </c>
      <c r="AH75" s="124">
        <f t="shared" si="5"/>
        <v>3782029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9" t="s">
        <v>201</v>
      </c>
      <c r="D76" s="567">
        <v>11952300</v>
      </c>
      <c r="E76" s="736" t="s">
        <v>172</v>
      </c>
      <c r="F76" s="737"/>
      <c r="G76" s="738"/>
      <c r="H76" s="319">
        <f t="shared" si="7"/>
        <v>11952300</v>
      </c>
      <c r="I76" s="155"/>
      <c r="J76" s="54"/>
      <c r="K76" s="155"/>
      <c r="L76" s="210"/>
      <c r="M76" s="210"/>
      <c r="N76" s="210"/>
      <c r="O76" s="212"/>
      <c r="P76" s="212">
        <v>8366610</v>
      </c>
      <c r="Q76" s="206"/>
      <c r="R76" s="212"/>
      <c r="S76" s="212">
        <v>3585690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3"/>
        <v>0</v>
      </c>
      <c r="AH76" s="124">
        <f t="shared" si="5"/>
        <v>11952300</v>
      </c>
      <c r="AI76" s="170">
        <f>+AH75+AH76+AH77</f>
        <v>64363018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1">
        <f t="shared" si="6"/>
        <v>0</v>
      </c>
    </row>
    <row r="77" spans="1:50" ht="15">
      <c r="A77" s="573">
        <v>44</v>
      </c>
      <c r="B77" s="568" t="s">
        <v>188</v>
      </c>
      <c r="C77" s="569">
        <v>4481</v>
      </c>
      <c r="D77" s="567">
        <v>48628689</v>
      </c>
      <c r="E77" s="624">
        <f>33731334*0.7</f>
        <v>23611933.799999997</v>
      </c>
      <c r="F77" s="625">
        <f>33731334*0.3</f>
        <v>10119400.199999999</v>
      </c>
      <c r="G77" s="625"/>
      <c r="H77" s="319">
        <f t="shared" si="7"/>
        <v>48628689</v>
      </c>
      <c r="I77" s="155"/>
      <c r="J77" s="54"/>
      <c r="K77" s="155"/>
      <c r="L77" s="210"/>
      <c r="M77" s="210"/>
      <c r="N77" s="210"/>
      <c r="O77" s="212"/>
      <c r="P77" s="212"/>
      <c r="Q77" s="9">
        <v>48628689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3"/>
        <v>0</v>
      </c>
      <c r="AH77" s="124">
        <f t="shared" si="5"/>
        <v>48628689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4"/>
        <v>0</v>
      </c>
      <c r="AX77" s="431">
        <f t="shared" si="6"/>
        <v>0</v>
      </c>
    </row>
    <row r="78" spans="1:50" ht="15">
      <c r="A78" s="18">
        <v>45</v>
      </c>
      <c r="B78" s="52" t="s">
        <v>189</v>
      </c>
      <c r="C78" s="148"/>
      <c r="D78" s="43">
        <v>119998560</v>
      </c>
      <c r="E78" s="720" t="s">
        <v>172</v>
      </c>
      <c r="F78" s="721"/>
      <c r="G78" s="722"/>
      <c r="H78" s="319">
        <f t="shared" si="7"/>
        <v>0</v>
      </c>
      <c r="I78" s="155"/>
      <c r="J78" s="54"/>
      <c r="K78" s="155"/>
      <c r="L78" s="210"/>
      <c r="M78" s="210"/>
      <c r="N78" s="210"/>
      <c r="O78" s="212"/>
      <c r="P78" s="212"/>
      <c r="Q78" s="206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3"/>
        <v>0</v>
      </c>
      <c r="AH78" s="124">
        <f t="shared" si="5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1">
        <f>+AG78-AW78</f>
        <v>0</v>
      </c>
    </row>
    <row r="79" spans="1:50" ht="15">
      <c r="A79" s="573"/>
      <c r="B79" s="568" t="s">
        <v>205</v>
      </c>
      <c r="C79" s="569" t="s">
        <v>226</v>
      </c>
      <c r="D79" s="567">
        <v>32323126</v>
      </c>
      <c r="E79" s="624">
        <f>+D79*0.7</f>
        <v>22626188.199999999</v>
      </c>
      <c r="F79" s="625">
        <f>+D79*0.3</f>
        <v>9696937.7999999989</v>
      </c>
      <c r="G79" s="625"/>
      <c r="H79" s="319">
        <f t="shared" si="7"/>
        <v>32323126</v>
      </c>
      <c r="I79" s="155"/>
      <c r="J79" s="54"/>
      <c r="K79" s="155"/>
      <c r="L79" s="210"/>
      <c r="M79" s="210"/>
      <c r="N79" s="210"/>
      <c r="O79" s="212"/>
      <c r="P79" s="212"/>
      <c r="Q79" s="212">
        <v>22626188</v>
      </c>
      <c r="R79" s="212">
        <v>9696938</v>
      </c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>
        <v>22626188</v>
      </c>
      <c r="AD79" s="210">
        <v>9696938</v>
      </c>
      <c r="AE79" s="210"/>
      <c r="AF79" s="210"/>
      <c r="AG79" s="219">
        <f t="shared" si="13"/>
        <v>32323126</v>
      </c>
      <c r="AH79" s="124">
        <f t="shared" si="5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1">
        <f>+AG79-AW79</f>
        <v>32323126</v>
      </c>
    </row>
    <row r="80" spans="1:50" ht="15">
      <c r="A80" s="573">
        <v>46</v>
      </c>
      <c r="B80" s="568" t="s">
        <v>128</v>
      </c>
      <c r="C80" s="569">
        <v>1852</v>
      </c>
      <c r="D80" s="567">
        <v>64761045</v>
      </c>
      <c r="E80" s="563">
        <f>+D80</f>
        <v>64761045</v>
      </c>
      <c r="F80" s="564">
        <v>0</v>
      </c>
      <c r="G80" s="565"/>
      <c r="H80" s="319">
        <f t="shared" si="7"/>
        <v>64761045</v>
      </c>
      <c r="I80" s="155"/>
      <c r="J80" s="54"/>
      <c r="K80" s="155">
        <v>64761045</v>
      </c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>
        <v>64761045</v>
      </c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3"/>
        <v>64761045</v>
      </c>
      <c r="AH80" s="124">
        <f t="shared" si="5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1">
        <f>+AG80-AW80</f>
        <v>64761045</v>
      </c>
    </row>
    <row r="81" spans="1:50" ht="15">
      <c r="A81" s="621"/>
      <c r="B81" s="568" t="s">
        <v>256</v>
      </c>
      <c r="C81" s="569" t="s">
        <v>258</v>
      </c>
      <c r="D81" s="567">
        <v>16893930</v>
      </c>
      <c r="E81" s="563">
        <f>+D81</f>
        <v>16893930</v>
      </c>
      <c r="F81" s="564"/>
      <c r="G81" s="565"/>
      <c r="H81" s="319">
        <f t="shared" si="7"/>
        <v>16893930</v>
      </c>
      <c r="I81" s="155"/>
      <c r="J81" s="54"/>
      <c r="K81" s="155"/>
      <c r="L81" s="210"/>
      <c r="M81" s="210"/>
      <c r="N81" s="210"/>
      <c r="O81" s="212"/>
      <c r="P81" s="212"/>
      <c r="Q81" s="212"/>
      <c r="R81" s="212">
        <v>16893930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16893930</v>
      </c>
      <c r="AE81" s="210"/>
      <c r="AF81" s="210"/>
      <c r="AG81" s="219">
        <f t="shared" si="13"/>
        <v>16893930</v>
      </c>
      <c r="AH81" s="124">
        <f t="shared" si="5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1">
        <f>+AG81-AW81</f>
        <v>16893930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19">
        <f t="shared" si="7"/>
        <v>0</v>
      </c>
      <c r="I82" s="155"/>
      <c r="J82" s="54"/>
      <c r="K82" s="155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3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4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SUM(D34:D81)</f>
        <v>2516342901</v>
      </c>
      <c r="E83" s="86"/>
      <c r="F83" s="87"/>
      <c r="G83" s="88"/>
      <c r="H83" s="342">
        <f t="shared" ref="H83:AG83" si="15">SUM(H34:H82)</f>
        <v>2392293013</v>
      </c>
      <c r="I83" s="116">
        <f t="shared" si="15"/>
        <v>0</v>
      </c>
      <c r="J83" s="117">
        <f t="shared" si="15"/>
        <v>0</v>
      </c>
      <c r="K83" s="117">
        <f t="shared" si="15"/>
        <v>557789501.0999999</v>
      </c>
      <c r="L83" s="256">
        <f t="shared" si="15"/>
        <v>426270594</v>
      </c>
      <c r="M83" s="256">
        <f t="shared" si="15"/>
        <v>352646609.19999999</v>
      </c>
      <c r="N83" s="256">
        <f t="shared" si="15"/>
        <v>42428509</v>
      </c>
      <c r="O83" s="256">
        <f t="shared" si="15"/>
        <v>42428509</v>
      </c>
      <c r="P83" s="256">
        <f t="shared" si="15"/>
        <v>154201058</v>
      </c>
      <c r="Q83" s="256">
        <f t="shared" si="15"/>
        <v>117465416</v>
      </c>
      <c r="R83" s="256">
        <f t="shared" si="15"/>
        <v>512563851.30000001</v>
      </c>
      <c r="S83" s="256">
        <f t="shared" si="15"/>
        <v>131267603.59999999</v>
      </c>
      <c r="T83" s="256">
        <f t="shared" si="15"/>
        <v>55231361.799999997</v>
      </c>
      <c r="U83" s="241">
        <f t="shared" si="15"/>
        <v>0</v>
      </c>
      <c r="V83" s="241">
        <f t="shared" si="15"/>
        <v>0</v>
      </c>
      <c r="W83" s="211">
        <f t="shared" si="15"/>
        <v>557789500.89999998</v>
      </c>
      <c r="X83" s="241">
        <f t="shared" si="15"/>
        <v>426270594</v>
      </c>
      <c r="Y83" s="241">
        <f t="shared" si="15"/>
        <v>352646609.19999999</v>
      </c>
      <c r="Z83" s="241">
        <f t="shared" si="15"/>
        <v>19353967</v>
      </c>
      <c r="AA83" s="241">
        <f t="shared" si="15"/>
        <v>19353967</v>
      </c>
      <c r="AB83" s="241">
        <f t="shared" si="15"/>
        <v>128992535</v>
      </c>
      <c r="AC83" s="241">
        <f t="shared" si="15"/>
        <v>108691727</v>
      </c>
      <c r="AD83" s="241">
        <f t="shared" si="15"/>
        <v>480446532.30000001</v>
      </c>
      <c r="AE83" s="241">
        <f t="shared" si="15"/>
        <v>121154802.59999999</v>
      </c>
      <c r="AF83" s="241">
        <f t="shared" si="15"/>
        <v>41015457.839999989</v>
      </c>
      <c r="AG83" s="241">
        <f t="shared" si="15"/>
        <v>2255715692.8399997</v>
      </c>
      <c r="AH83" s="125">
        <f>+H83-AG83</f>
        <v>136577320.16000032</v>
      </c>
      <c r="AK83" s="425">
        <f t="shared" ref="AK83:AX83" si="16">SUM(AK34:AK82)</f>
        <v>0</v>
      </c>
      <c r="AL83" s="425">
        <f t="shared" si="16"/>
        <v>0</v>
      </c>
      <c r="AM83" s="425">
        <f t="shared" si="16"/>
        <v>0</v>
      </c>
      <c r="AN83" s="425">
        <f t="shared" si="16"/>
        <v>183371219</v>
      </c>
      <c r="AO83" s="425">
        <f t="shared" si="16"/>
        <v>91920410</v>
      </c>
      <c r="AP83" s="425">
        <f t="shared" si="16"/>
        <v>152254583</v>
      </c>
      <c r="AQ83" s="425">
        <f t="shared" si="16"/>
        <v>167424026</v>
      </c>
      <c r="AR83" s="425">
        <f t="shared" si="16"/>
        <v>196906767</v>
      </c>
      <c r="AS83" s="425">
        <f t="shared" si="16"/>
        <v>43051583</v>
      </c>
      <c r="AT83" s="425">
        <f t="shared" si="16"/>
        <v>274176986</v>
      </c>
      <c r="AU83" s="425">
        <f t="shared" si="16"/>
        <v>113926611</v>
      </c>
      <c r="AV83" s="438">
        <f t="shared" si="16"/>
        <v>137631848</v>
      </c>
      <c r="AW83" s="451">
        <f t="shared" si="16"/>
        <v>1360664033</v>
      </c>
      <c r="AX83" s="429">
        <f t="shared" si="16"/>
        <v>895051659.83999991</v>
      </c>
    </row>
    <row r="84" spans="1:50" s="376" customFormat="1" ht="15.75" thickBot="1">
      <c r="D84" s="377"/>
      <c r="E84" s="378"/>
      <c r="F84" s="378"/>
      <c r="G84" s="378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3450674</v>
      </c>
      <c r="V84" s="396">
        <v>3450676</v>
      </c>
      <c r="W84" s="395">
        <v>3450679</v>
      </c>
      <c r="X84" s="396">
        <v>3450685</v>
      </c>
      <c r="Y84" s="395">
        <v>3458675</v>
      </c>
      <c r="Z84" s="396">
        <v>3467961</v>
      </c>
      <c r="AA84" s="395">
        <v>3481345</v>
      </c>
      <c r="AB84" s="396">
        <v>3491834</v>
      </c>
      <c r="AC84" s="395">
        <v>3510169</v>
      </c>
      <c r="AD84" s="396">
        <v>3513794</v>
      </c>
      <c r="AE84" s="395"/>
      <c r="AF84" s="395"/>
      <c r="AG84" s="379"/>
      <c r="AN84" s="469"/>
      <c r="AW84" s="376">
        <v>1109105574</v>
      </c>
    </row>
    <row r="85" spans="1:50" ht="15.75" thickBot="1">
      <c r="A85" s="761" t="s">
        <v>94</v>
      </c>
      <c r="B85" s="762"/>
      <c r="C85" s="763"/>
      <c r="D85" s="133">
        <f>+D83+D30</f>
        <v>10221850353</v>
      </c>
      <c r="E85" s="127"/>
      <c r="F85" s="128"/>
      <c r="G85" s="128"/>
      <c r="H85" s="129">
        <f>+H30</f>
        <v>8682027584.26824</v>
      </c>
      <c r="I85" s="130">
        <f t="shared" ref="I85:AH85" si="17">+I83+I30</f>
        <v>642125621</v>
      </c>
      <c r="J85" s="130">
        <f t="shared" si="17"/>
        <v>642170652</v>
      </c>
      <c r="K85" s="130">
        <f t="shared" si="17"/>
        <v>1200112174.7362399</v>
      </c>
      <c r="L85" s="215">
        <f t="shared" si="17"/>
        <v>1283075273</v>
      </c>
      <c r="M85" s="215">
        <f t="shared" si="17"/>
        <v>994862792.20000005</v>
      </c>
      <c r="N85" s="215">
        <f t="shared" si="17"/>
        <v>900760656</v>
      </c>
      <c r="O85" s="215">
        <f t="shared" si="17"/>
        <v>684640182</v>
      </c>
      <c r="P85" s="215">
        <f t="shared" si="17"/>
        <v>902052358</v>
      </c>
      <c r="Q85" s="215">
        <f t="shared" si="17"/>
        <v>978941257</v>
      </c>
      <c r="R85" s="215">
        <f t="shared" si="17"/>
        <v>1154060457.3</v>
      </c>
      <c r="S85" s="215">
        <f t="shared" si="17"/>
        <v>772764209.60000002</v>
      </c>
      <c r="T85" s="257">
        <f t="shared" si="17"/>
        <v>918754964.43199992</v>
      </c>
      <c r="U85" s="242">
        <f t="shared" si="17"/>
        <v>642125621</v>
      </c>
      <c r="V85" s="215">
        <f t="shared" si="17"/>
        <v>642170652</v>
      </c>
      <c r="W85" s="285">
        <f t="shared" si="17"/>
        <v>1200112173.9000001</v>
      </c>
      <c r="X85" s="242">
        <f t="shared" si="17"/>
        <v>1283075273</v>
      </c>
      <c r="Y85" s="215">
        <f t="shared" si="17"/>
        <v>994862792.20000005</v>
      </c>
      <c r="Z85" s="285">
        <f t="shared" si="17"/>
        <v>877686114</v>
      </c>
      <c r="AA85" s="242">
        <f t="shared" si="17"/>
        <v>661565640</v>
      </c>
      <c r="AB85" s="215">
        <f t="shared" si="17"/>
        <v>876843835</v>
      </c>
      <c r="AC85" s="285">
        <f t="shared" si="17"/>
        <v>970167568</v>
      </c>
      <c r="AD85" s="242">
        <f t="shared" si="17"/>
        <v>1121943138.3</v>
      </c>
      <c r="AE85" s="215">
        <f t="shared" si="17"/>
        <v>762651408.60000002</v>
      </c>
      <c r="AF85" s="285">
        <f t="shared" si="17"/>
        <v>904539060.472</v>
      </c>
      <c r="AG85" s="282">
        <f t="shared" si="17"/>
        <v>10937743276.472</v>
      </c>
      <c r="AH85" s="132">
        <f t="shared" si="17"/>
        <v>136577320.79624033</v>
      </c>
      <c r="AR85" s="473"/>
      <c r="AW85" s="207"/>
    </row>
    <row r="86" spans="1:50">
      <c r="AW86" s="473"/>
    </row>
    <row r="87" spans="1:50" ht="15" thickBot="1">
      <c r="D87" s="1"/>
      <c r="E87" s="1"/>
      <c r="F87" s="207"/>
      <c r="G87" s="170"/>
      <c r="AW87" s="473"/>
    </row>
    <row r="88" spans="1:50" ht="15.75" thickBot="1">
      <c r="A88" s="273"/>
      <c r="B88" s="758" t="s">
        <v>118</v>
      </c>
      <c r="C88" s="759"/>
      <c r="D88" s="760"/>
      <c r="F88" s="298"/>
      <c r="G88" s="299"/>
    </row>
    <row r="89" spans="1:50">
      <c r="A89" s="274" t="s">
        <v>119</v>
      </c>
      <c r="B89" s="708" t="s">
        <v>123</v>
      </c>
      <c r="C89" s="709"/>
      <c r="D89" s="275">
        <f>+U85+V85+W85</f>
        <v>2484408446.9000001</v>
      </c>
    </row>
    <row r="90" spans="1:50">
      <c r="A90" s="276" t="s">
        <v>120</v>
      </c>
      <c r="B90" s="706" t="s">
        <v>124</v>
      </c>
      <c r="C90" s="707"/>
      <c r="D90" s="277">
        <f>+X85+Y85+Z85</f>
        <v>3155624179.1999998</v>
      </c>
      <c r="X90" s="207">
        <v>3155624179</v>
      </c>
    </row>
    <row r="91" spans="1:50">
      <c r="A91" s="276" t="s">
        <v>121</v>
      </c>
      <c r="B91" s="706" t="s">
        <v>125</v>
      </c>
      <c r="C91" s="707"/>
      <c r="D91" s="277">
        <f>+AA85+AB85+AC85</f>
        <v>2508577043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2789133607.3720002</v>
      </c>
    </row>
    <row r="93" spans="1:50" ht="15.75" customHeight="1" thickBot="1">
      <c r="A93" s="756" t="s">
        <v>117</v>
      </c>
      <c r="B93" s="757"/>
      <c r="C93" s="757"/>
      <c r="D93" s="280">
        <f>SUM(D89:D92)</f>
        <v>10937743276.472</v>
      </c>
    </row>
    <row r="97" spans="2:5" ht="15">
      <c r="B97" s="509" t="s">
        <v>234</v>
      </c>
      <c r="E97" s="1"/>
    </row>
    <row r="98" spans="2:5">
      <c r="B98" s="700" t="s">
        <v>247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 t="s">
        <v>89</v>
      </c>
      <c r="D102" s="6">
        <v>46149084</v>
      </c>
    </row>
    <row r="103" spans="2:5" ht="15">
      <c r="C103" s="508" t="s">
        <v>236</v>
      </c>
      <c r="D103" s="511">
        <v>16841913</v>
      </c>
    </row>
    <row r="104" spans="2:5">
      <c r="D104" s="6">
        <f>SUM(D102:D103)</f>
        <v>62990997</v>
      </c>
      <c r="E104" s="298"/>
    </row>
    <row r="105" spans="2:5">
      <c r="E105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BB106"/>
  <sheetViews>
    <sheetView topLeftCell="A30" zoomScale="70" zoomScaleNormal="70" workbookViewId="0">
      <selection activeCell="AF44" sqref="AF44"/>
    </sheetView>
  </sheetViews>
  <sheetFormatPr baseColWidth="10" defaultRowHeight="14.25"/>
  <cols>
    <col min="1" max="1" width="4.85546875" style="1" customWidth="1"/>
    <col min="2" max="2" width="52.85546875" style="1" customWidth="1"/>
    <col min="3" max="3" width="31" style="1" customWidth="1"/>
    <col min="4" max="4" width="19.28515625" style="6" customWidth="1"/>
    <col min="5" max="7" width="17.140625" style="4" customWidth="1"/>
    <col min="8" max="8" width="19.42578125" style="207" customWidth="1"/>
    <col min="9" max="9" width="16.7109375" style="207" hidden="1" customWidth="1"/>
    <col min="10" max="10" width="14.140625" style="207" hidden="1" customWidth="1"/>
    <col min="11" max="11" width="16.28515625" style="207" hidden="1" customWidth="1"/>
    <col min="12" max="13" width="15.7109375" style="207" hidden="1" customWidth="1"/>
    <col min="14" max="14" width="19" style="207" hidden="1" customWidth="1"/>
    <col min="15" max="15" width="17.7109375" style="207" hidden="1" customWidth="1"/>
    <col min="16" max="16" width="19" style="207" hidden="1" customWidth="1"/>
    <col min="17" max="17" width="16.7109375" style="207" hidden="1" customWidth="1"/>
    <col min="18" max="18" width="14.5703125" style="207" hidden="1" customWidth="1"/>
    <col min="19" max="19" width="19.140625" style="207" customWidth="1"/>
    <col min="20" max="20" width="18.28515625" style="207" customWidth="1"/>
    <col min="21" max="22" width="16.85546875" style="207" hidden="1" customWidth="1"/>
    <col min="23" max="23" width="19" style="207" hidden="1" customWidth="1"/>
    <col min="24" max="25" width="19.42578125" style="207" hidden="1" customWidth="1"/>
    <col min="26" max="26" width="19" style="207" hidden="1" customWidth="1"/>
    <col min="27" max="27" width="17.28515625" style="207" hidden="1" customWidth="1"/>
    <col min="28" max="28" width="19.42578125" style="207" hidden="1" customWidth="1"/>
    <col min="29" max="29" width="20.85546875" style="207" hidden="1" customWidth="1"/>
    <col min="30" max="30" width="19" style="207" hidden="1" customWidth="1"/>
    <col min="31" max="31" width="19.140625" style="207" customWidth="1"/>
    <col min="32" max="32" width="18.28515625" style="207" customWidth="1"/>
    <col min="33" max="33" width="18" style="207" customWidth="1"/>
    <col min="34" max="34" width="18.7109375" style="1" customWidth="1"/>
    <col min="35" max="35" width="16.140625" style="1" customWidth="1"/>
    <col min="36" max="36" width="11.42578125" style="1" customWidth="1"/>
    <col min="37" max="37" width="13.5703125" style="1" hidden="1" customWidth="1"/>
    <col min="38" max="38" width="11.42578125" style="1" hidden="1" customWidth="1"/>
    <col min="39" max="39" width="14.42578125" style="1" hidden="1" customWidth="1"/>
    <col min="40" max="40" width="11.42578125" style="1" hidden="1" customWidth="1"/>
    <col min="41" max="41" width="10" style="1" hidden="1" customWidth="1"/>
    <col min="42" max="43" width="13.5703125" style="1" hidden="1" customWidth="1"/>
    <col min="44" max="44" width="14" style="1" hidden="1" customWidth="1"/>
    <col min="45" max="46" width="15.42578125" style="1" hidden="1" customWidth="1"/>
    <col min="47" max="49" width="15.42578125" style="1" customWidth="1"/>
    <col min="50" max="50" width="21" style="1" customWidth="1"/>
    <col min="51" max="51" width="15" style="1" bestFit="1" customWidth="1"/>
    <col min="52" max="52" width="11.42578125" style="1"/>
    <col min="53" max="53" width="12.42578125" style="1" bestFit="1" customWidth="1"/>
    <col min="54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60</v>
      </c>
    </row>
    <row r="11" spans="1:34">
      <c r="B11" s="3" t="s">
        <v>61</v>
      </c>
    </row>
    <row r="12" spans="1:34">
      <c r="B12" s="3" t="s">
        <v>70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74" t="s">
        <v>38</v>
      </c>
      <c r="I14" s="775"/>
      <c r="J14" s="775"/>
      <c r="K14" s="775"/>
      <c r="L14" s="775"/>
      <c r="M14" s="775"/>
      <c r="N14" s="785"/>
      <c r="O14" s="777"/>
      <c r="P14" s="777"/>
      <c r="Q14" s="777"/>
      <c r="R14" s="777"/>
      <c r="S14" s="777"/>
      <c r="T14" s="778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30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883488725*12</f>
        <v>10601864700</v>
      </c>
      <c r="E16" s="22"/>
      <c r="F16" s="23"/>
      <c r="G16" s="24"/>
      <c r="H16" s="322">
        <f>SUM(I16:T16)</f>
        <v>10601864700</v>
      </c>
      <c r="I16" s="250">
        <v>883488725</v>
      </c>
      <c r="J16" s="217">
        <v>883488725</v>
      </c>
      <c r="K16" s="217">
        <v>883488725</v>
      </c>
      <c r="L16" s="217">
        <v>883488725</v>
      </c>
      <c r="M16" s="212">
        <v>883488725</v>
      </c>
      <c r="N16" s="217">
        <v>883488725</v>
      </c>
      <c r="O16" s="212">
        <v>883488725</v>
      </c>
      <c r="P16" s="212">
        <v>883488725</v>
      </c>
      <c r="Q16" s="212">
        <v>883488725</v>
      </c>
      <c r="R16" s="212">
        <v>883488725</v>
      </c>
      <c r="S16" s="212">
        <v>883488725</v>
      </c>
      <c r="T16" s="248">
        <v>883488725</v>
      </c>
      <c r="U16" s="234">
        <v>883488725</v>
      </c>
      <c r="V16" s="217">
        <v>883488725</v>
      </c>
      <c r="W16" s="217">
        <v>883488725</v>
      </c>
      <c r="X16" s="217">
        <v>883488725</v>
      </c>
      <c r="Y16" s="209">
        <v>883488725</v>
      </c>
      <c r="Z16" s="217">
        <v>883488725</v>
      </c>
      <c r="AA16" s="209">
        <v>883488725</v>
      </c>
      <c r="AB16" s="209">
        <v>883488725</v>
      </c>
      <c r="AC16" s="209">
        <v>883488725</v>
      </c>
      <c r="AD16" s="209">
        <v>883488725</v>
      </c>
      <c r="AE16" s="209">
        <v>883488725</v>
      </c>
      <c r="AF16" s="225">
        <v>883488725</v>
      </c>
      <c r="AG16" s="226">
        <f>SUM(U16:AF16)</f>
        <v>10601864700</v>
      </c>
      <c r="AH16" s="123">
        <f t="shared" ref="AH16:AH30" si="0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>
        <f>10073358*12</f>
        <v>120880296</v>
      </c>
      <c r="E17" s="15"/>
      <c r="F17" s="14"/>
      <c r="G17" s="16"/>
      <c r="H17" s="324">
        <f>SUM(I17:T17)</f>
        <v>120880296</v>
      </c>
      <c r="I17" s="252">
        <v>10073358</v>
      </c>
      <c r="J17" s="217">
        <v>10073358</v>
      </c>
      <c r="K17" s="217">
        <v>10073358</v>
      </c>
      <c r="L17" s="217">
        <v>10073358</v>
      </c>
      <c r="M17" s="206">
        <v>10073358</v>
      </c>
      <c r="N17" s="217">
        <v>10073358</v>
      </c>
      <c r="O17" s="206">
        <v>10073358</v>
      </c>
      <c r="P17" s="206">
        <v>10073358</v>
      </c>
      <c r="Q17" s="206">
        <v>10073358</v>
      </c>
      <c r="R17" s="206">
        <v>10073358</v>
      </c>
      <c r="S17" s="206">
        <v>10073358</v>
      </c>
      <c r="T17" s="227">
        <v>10073358</v>
      </c>
      <c r="U17" s="235">
        <v>10073358</v>
      </c>
      <c r="V17" s="217">
        <v>10073358</v>
      </c>
      <c r="W17" s="217">
        <v>10073358</v>
      </c>
      <c r="X17" s="217">
        <v>10073358</v>
      </c>
      <c r="Y17" s="206">
        <v>10073358</v>
      </c>
      <c r="Z17" s="217">
        <v>10073358</v>
      </c>
      <c r="AA17" s="206">
        <v>10073358</v>
      </c>
      <c r="AB17" s="206">
        <v>10073358</v>
      </c>
      <c r="AC17" s="206">
        <v>10073358</v>
      </c>
      <c r="AD17" s="206">
        <v>10073358</v>
      </c>
      <c r="AE17" s="206">
        <v>10073358</v>
      </c>
      <c r="AF17" s="227">
        <v>10073358</v>
      </c>
      <c r="AG17" s="228">
        <f t="shared" ref="AG17:AG28" si="1">SUM(U17:AF17)</f>
        <v>120880296</v>
      </c>
      <c r="AH17" s="124">
        <f t="shared" si="0"/>
        <v>0</v>
      </c>
    </row>
    <row r="18" spans="1:48" ht="15">
      <c r="A18" s="11">
        <v>3</v>
      </c>
      <c r="B18" s="7" t="s">
        <v>28</v>
      </c>
      <c r="C18" s="147" t="s">
        <v>29</v>
      </c>
      <c r="D18" s="13">
        <f>-1163009*12</f>
        <v>-13956108</v>
      </c>
      <c r="E18" s="15"/>
      <c r="F18" s="14"/>
      <c r="G18" s="16"/>
      <c r="H18" s="324">
        <f t="shared" ref="H18:H29" si="2">SUM(I18:T18)</f>
        <v>-13956108</v>
      </c>
      <c r="I18" s="252">
        <v>-1163009</v>
      </c>
      <c r="J18" s="217">
        <v>-1163009</v>
      </c>
      <c r="K18" s="217">
        <v>-1163009</v>
      </c>
      <c r="L18" s="217">
        <v>-1163009</v>
      </c>
      <c r="M18" s="206">
        <v>-1163009</v>
      </c>
      <c r="N18" s="217">
        <v>-1163009</v>
      </c>
      <c r="O18" s="206">
        <v>-1163009</v>
      </c>
      <c r="P18" s="206">
        <v>-1163009</v>
      </c>
      <c r="Q18" s="206">
        <v>-1163009</v>
      </c>
      <c r="R18" s="206">
        <v>-1163009</v>
      </c>
      <c r="S18" s="206">
        <v>-1163009</v>
      </c>
      <c r="T18" s="227">
        <v>-1163009</v>
      </c>
      <c r="U18" s="235">
        <v>-1163009</v>
      </c>
      <c r="V18" s="217">
        <v>-1163009</v>
      </c>
      <c r="W18" s="217">
        <v>-1163009</v>
      </c>
      <c r="X18" s="217">
        <v>-1163009</v>
      </c>
      <c r="Y18" s="206">
        <v>-1163009</v>
      </c>
      <c r="Z18" s="217">
        <v>-1163009</v>
      </c>
      <c r="AA18" s="206">
        <v>-1163009</v>
      </c>
      <c r="AB18" s="206">
        <v>-1163009</v>
      </c>
      <c r="AC18" s="206">
        <v>-1163009</v>
      </c>
      <c r="AD18" s="206">
        <v>-1163009</v>
      </c>
      <c r="AE18" s="206">
        <v>-1163009</v>
      </c>
      <c r="AF18" s="227">
        <v>-1163009</v>
      </c>
      <c r="AG18" s="228">
        <f t="shared" si="1"/>
        <v>-13956108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-6517781*12</f>
        <v>-78213372</v>
      </c>
      <c r="E19" s="15"/>
      <c r="F19" s="14"/>
      <c r="G19" s="16"/>
      <c r="H19" s="324">
        <f t="shared" si="2"/>
        <v>-82914336</v>
      </c>
      <c r="I19" s="252">
        <v>-6517781</v>
      </c>
      <c r="J19" s="217">
        <v>-6517781</v>
      </c>
      <c r="K19" s="217">
        <v>-6517781</v>
      </c>
      <c r="L19" s="217">
        <v>-6517781</v>
      </c>
      <c r="M19" s="206">
        <v>-6517781</v>
      </c>
      <c r="N19" s="217">
        <v>-6517781</v>
      </c>
      <c r="O19" s="206">
        <v>-6517781</v>
      </c>
      <c r="P19" s="206">
        <v>-6517781</v>
      </c>
      <c r="Q19" s="206">
        <v>-6517781</v>
      </c>
      <c r="R19" s="206">
        <v>-8084769</v>
      </c>
      <c r="S19" s="206">
        <v>-8084769</v>
      </c>
      <c r="T19" s="227">
        <v>-8084769</v>
      </c>
      <c r="U19" s="235">
        <v>-6517781</v>
      </c>
      <c r="V19" s="217">
        <v>-6517781</v>
      </c>
      <c r="W19" s="217">
        <v>-6517781</v>
      </c>
      <c r="X19" s="217">
        <v>-6517781</v>
      </c>
      <c r="Y19" s="206">
        <v>-6517781</v>
      </c>
      <c r="Z19" s="217">
        <v>-6517781</v>
      </c>
      <c r="AA19" s="206">
        <v>-6517781</v>
      </c>
      <c r="AB19" s="206">
        <v>-6517781</v>
      </c>
      <c r="AC19" s="206">
        <v>-6517781</v>
      </c>
      <c r="AD19" s="206">
        <v>-8084769</v>
      </c>
      <c r="AE19" s="206">
        <v>-8084769</v>
      </c>
      <c r="AF19" s="227">
        <v>-8084769</v>
      </c>
      <c r="AG19" s="228">
        <f t="shared" si="1"/>
        <v>-82914336</v>
      </c>
      <c r="AH19" s="124">
        <f t="shared" si="0"/>
        <v>0</v>
      </c>
    </row>
    <row r="20" spans="1:48" ht="29.25">
      <c r="A20" s="11">
        <v>5</v>
      </c>
      <c r="B20" s="10" t="s">
        <v>31</v>
      </c>
      <c r="C20" s="147" t="s">
        <v>29</v>
      </c>
      <c r="D20" s="13">
        <f>3416178*12</f>
        <v>40994136</v>
      </c>
      <c r="E20" s="15"/>
      <c r="F20" s="14"/>
      <c r="G20" s="16"/>
      <c r="H20" s="324">
        <f t="shared" si="2"/>
        <v>40994135.640000001</v>
      </c>
      <c r="I20" s="252">
        <v>3416178</v>
      </c>
      <c r="J20" s="217">
        <v>3416178</v>
      </c>
      <c r="K20" s="217">
        <v>3416178</v>
      </c>
      <c r="L20" s="217">
        <v>3416178</v>
      </c>
      <c r="M20" s="206">
        <v>3416178</v>
      </c>
      <c r="N20" s="65">
        <v>3416178</v>
      </c>
      <c r="O20" s="206">
        <v>3416178</v>
      </c>
      <c r="P20" s="206">
        <v>3416178</v>
      </c>
      <c r="Q20" s="206">
        <v>3416178</v>
      </c>
      <c r="R20" s="206">
        <v>3416178</v>
      </c>
      <c r="S20" s="206">
        <v>3416178</v>
      </c>
      <c r="T20" s="227">
        <v>3416177.64</v>
      </c>
      <c r="U20" s="235">
        <v>3416178</v>
      </c>
      <c r="V20" s="217">
        <v>3416178</v>
      </c>
      <c r="W20" s="217">
        <v>3416178</v>
      </c>
      <c r="X20" s="65">
        <v>3416178</v>
      </c>
      <c r="Y20" s="206">
        <v>3416178</v>
      </c>
      <c r="Z20" s="65">
        <v>3416178</v>
      </c>
      <c r="AA20" s="206">
        <v>3416178</v>
      </c>
      <c r="AB20" s="206">
        <v>3416178</v>
      </c>
      <c r="AC20" s="206">
        <v>3416178</v>
      </c>
      <c r="AD20" s="206">
        <v>3416178</v>
      </c>
      <c r="AE20" s="206">
        <v>3416178</v>
      </c>
      <c r="AF20" s="65">
        <v>3416177.64</v>
      </c>
      <c r="AG20" s="228">
        <f t="shared" si="1"/>
        <v>40994135.640000001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651812*12</f>
        <v>7821744</v>
      </c>
      <c r="E21" s="15"/>
      <c r="F21" s="14"/>
      <c r="G21" s="16"/>
      <c r="H21" s="324">
        <f t="shared" si="2"/>
        <v>7758788.0500000007</v>
      </c>
      <c r="I21" s="252">
        <v>651812</v>
      </c>
      <c r="J21" s="217">
        <v>688317</v>
      </c>
      <c r="K21" s="217">
        <v>588096.05000000016</v>
      </c>
      <c r="L21" s="217">
        <v>656534</v>
      </c>
      <c r="M21" s="206">
        <v>656534</v>
      </c>
      <c r="N21" s="65">
        <v>656534</v>
      </c>
      <c r="O21" s="206">
        <v>656534</v>
      </c>
      <c r="P21" s="206">
        <v>656534</v>
      </c>
      <c r="Q21" s="206">
        <v>656534</v>
      </c>
      <c r="R21" s="206">
        <v>656534</v>
      </c>
      <c r="S21" s="206">
        <v>656534</v>
      </c>
      <c r="T21" s="227">
        <v>578291</v>
      </c>
      <c r="U21" s="235">
        <v>651812</v>
      </c>
      <c r="V21" s="217">
        <v>688317</v>
      </c>
      <c r="W21" s="217">
        <v>588096</v>
      </c>
      <c r="X21" s="65">
        <v>656534</v>
      </c>
      <c r="Y21" s="206">
        <v>656534</v>
      </c>
      <c r="Z21" s="65">
        <v>656534</v>
      </c>
      <c r="AA21" s="206">
        <v>656534</v>
      </c>
      <c r="AB21" s="206">
        <v>656534</v>
      </c>
      <c r="AC21" s="206">
        <v>656534</v>
      </c>
      <c r="AD21" s="206">
        <v>656534</v>
      </c>
      <c r="AE21" s="206">
        <v>656534</v>
      </c>
      <c r="AF21" s="65">
        <v>578291</v>
      </c>
      <c r="AG21" s="228">
        <f t="shared" si="1"/>
        <v>7758788</v>
      </c>
      <c r="AH21" s="124">
        <f t="shared" si="0"/>
        <v>5.000000074505806E-2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441284405</v>
      </c>
      <c r="I22" s="252"/>
      <c r="J22" s="217"/>
      <c r="K22" s="217"/>
      <c r="L22" s="217">
        <v>114287749</v>
      </c>
      <c r="M22" s="206"/>
      <c r="N22" s="65">
        <v>108995362</v>
      </c>
      <c r="O22" s="206"/>
      <c r="P22" s="206"/>
      <c r="Q22" s="206">
        <v>109834738</v>
      </c>
      <c r="R22" s="206"/>
      <c r="S22" s="206"/>
      <c r="T22" s="227">
        <v>108166556</v>
      </c>
      <c r="U22" s="235"/>
      <c r="V22" s="217"/>
      <c r="W22" s="217"/>
      <c r="X22" s="65">
        <v>114287749</v>
      </c>
      <c r="Y22" s="206"/>
      <c r="Z22" s="65">
        <v>108995362</v>
      </c>
      <c r="AA22" s="206"/>
      <c r="AB22" s="206"/>
      <c r="AC22" s="206">
        <v>109834738</v>
      </c>
      <c r="AD22" s="206"/>
      <c r="AE22" s="206"/>
      <c r="AF22" s="65">
        <v>108166556</v>
      </c>
      <c r="AG22" s="228">
        <f>SUM(U22:AF22)</f>
        <v>441284405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509833322</v>
      </c>
      <c r="I23" s="252"/>
      <c r="J23" s="217"/>
      <c r="K23" s="217"/>
      <c r="L23" s="217">
        <v>132041157</v>
      </c>
      <c r="M23" s="206"/>
      <c r="N23" s="65">
        <v>125926653</v>
      </c>
      <c r="O23" s="206"/>
      <c r="P23" s="206"/>
      <c r="Q23" s="206">
        <v>126896415</v>
      </c>
      <c r="R23" s="206"/>
      <c r="S23" s="206"/>
      <c r="T23" s="227">
        <v>124969097</v>
      </c>
      <c r="U23" s="235"/>
      <c r="V23" s="217"/>
      <c r="W23" s="217"/>
      <c r="X23" s="65">
        <v>132041157</v>
      </c>
      <c r="Y23" s="206"/>
      <c r="Z23" s="65">
        <v>125926653</v>
      </c>
      <c r="AA23" s="206"/>
      <c r="AB23" s="206"/>
      <c r="AC23" s="206">
        <v>126896415</v>
      </c>
      <c r="AD23" s="206"/>
      <c r="AE23" s="206"/>
      <c r="AF23" s="65">
        <v>124969097</v>
      </c>
      <c r="AG23" s="228">
        <f>SUM(U23:AF23)</f>
        <v>509833322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2405605*12</f>
        <v>28867260</v>
      </c>
      <c r="E24" s="15"/>
      <c r="F24" s="14"/>
      <c r="G24" s="16"/>
      <c r="H24" s="324">
        <f t="shared" si="2"/>
        <v>28867260</v>
      </c>
      <c r="I24" s="252">
        <v>2405605</v>
      </c>
      <c r="J24" s="217">
        <v>2405605</v>
      </c>
      <c r="K24" s="217">
        <v>2405605</v>
      </c>
      <c r="L24" s="217">
        <v>2405605</v>
      </c>
      <c r="M24" s="206">
        <v>2405605</v>
      </c>
      <c r="N24" s="65">
        <v>2405605</v>
      </c>
      <c r="O24" s="206">
        <v>2405605</v>
      </c>
      <c r="P24" s="206">
        <v>2405605</v>
      </c>
      <c r="Q24" s="206">
        <v>2405605</v>
      </c>
      <c r="R24" s="206">
        <v>2405605</v>
      </c>
      <c r="S24" s="206">
        <v>2405605</v>
      </c>
      <c r="T24" s="227">
        <v>2405605</v>
      </c>
      <c r="U24" s="235">
        <v>2405605</v>
      </c>
      <c r="V24" s="217">
        <v>2405605</v>
      </c>
      <c r="W24" s="217">
        <v>2405605</v>
      </c>
      <c r="X24" s="65">
        <v>2405605</v>
      </c>
      <c r="Y24" s="206">
        <v>2405605</v>
      </c>
      <c r="Z24" s="65">
        <v>2405605</v>
      </c>
      <c r="AA24" s="206">
        <v>2405605</v>
      </c>
      <c r="AB24" s="206">
        <v>2405605</v>
      </c>
      <c r="AC24" s="206">
        <v>2405605</v>
      </c>
      <c r="AD24" s="206">
        <v>2405605</v>
      </c>
      <c r="AE24" s="206">
        <v>2405605</v>
      </c>
      <c r="AF24" s="65">
        <v>2405605</v>
      </c>
      <c r="AG24" s="228">
        <f t="shared" si="1"/>
        <v>28867260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>
        <f>592273*12</f>
        <v>7107276</v>
      </c>
      <c r="E25" s="15"/>
      <c r="F25" s="14"/>
      <c r="G25" s="16"/>
      <c r="H25" s="324">
        <f t="shared" si="2"/>
        <v>7107275.97884</v>
      </c>
      <c r="I25" s="252">
        <v>592273</v>
      </c>
      <c r="J25" s="217">
        <v>592273</v>
      </c>
      <c r="K25" s="217">
        <v>592272.97883999988</v>
      </c>
      <c r="L25" s="217">
        <v>592273</v>
      </c>
      <c r="M25" s="206">
        <v>592273</v>
      </c>
      <c r="N25" s="65">
        <v>592273</v>
      </c>
      <c r="O25" s="206">
        <v>592273</v>
      </c>
      <c r="P25" s="206">
        <v>592273</v>
      </c>
      <c r="Q25" s="206">
        <v>592273</v>
      </c>
      <c r="R25" s="206">
        <v>592273</v>
      </c>
      <c r="S25" s="206">
        <v>592273</v>
      </c>
      <c r="T25" s="227">
        <v>592273</v>
      </c>
      <c r="U25" s="235">
        <v>592273</v>
      </c>
      <c r="V25" s="217">
        <v>592273</v>
      </c>
      <c r="W25" s="217">
        <v>592273</v>
      </c>
      <c r="X25" s="65">
        <v>592273</v>
      </c>
      <c r="Y25" s="206">
        <v>592273</v>
      </c>
      <c r="Z25" s="65">
        <v>592273</v>
      </c>
      <c r="AA25" s="206">
        <v>592273</v>
      </c>
      <c r="AB25" s="206">
        <v>592273</v>
      </c>
      <c r="AC25" s="206">
        <v>592273</v>
      </c>
      <c r="AD25" s="206">
        <v>592273</v>
      </c>
      <c r="AE25" s="206">
        <v>592273</v>
      </c>
      <c r="AF25" s="65">
        <v>592273</v>
      </c>
      <c r="AG25" s="228">
        <f t="shared" si="1"/>
        <v>7107276</v>
      </c>
      <c r="AH25" s="124">
        <f t="shared" si="0"/>
        <v>-2.1160000003874302E-2</v>
      </c>
    </row>
    <row r="26" spans="1:48" ht="15">
      <c r="A26" s="51">
        <v>9</v>
      </c>
      <c r="B26" s="52" t="s">
        <v>34</v>
      </c>
      <c r="C26" s="148" t="s">
        <v>29</v>
      </c>
      <c r="D26" s="13">
        <f>170527*12</f>
        <v>2046324</v>
      </c>
      <c r="E26" s="15"/>
      <c r="F26" s="14"/>
      <c r="G26" s="16"/>
      <c r="H26" s="324">
        <f t="shared" si="2"/>
        <v>2046324</v>
      </c>
      <c r="I26" s="252">
        <v>170527</v>
      </c>
      <c r="J26" s="217">
        <v>170527</v>
      </c>
      <c r="K26" s="217">
        <v>170527</v>
      </c>
      <c r="L26" s="217">
        <v>170527</v>
      </c>
      <c r="M26" s="206">
        <v>170527</v>
      </c>
      <c r="N26" s="65">
        <v>170527</v>
      </c>
      <c r="O26" s="206">
        <v>170527</v>
      </c>
      <c r="P26" s="206">
        <v>170527</v>
      </c>
      <c r="Q26" s="206">
        <v>170527</v>
      </c>
      <c r="R26" s="206">
        <v>170527</v>
      </c>
      <c r="S26" s="206">
        <v>170527</v>
      </c>
      <c r="T26" s="227">
        <v>170527</v>
      </c>
      <c r="U26" s="235">
        <v>170527</v>
      </c>
      <c r="V26" s="217">
        <v>170527</v>
      </c>
      <c r="W26" s="217">
        <v>170527</v>
      </c>
      <c r="X26" s="65">
        <v>170527</v>
      </c>
      <c r="Y26" s="206">
        <v>170527</v>
      </c>
      <c r="Z26" s="65">
        <v>170527</v>
      </c>
      <c r="AA26" s="206">
        <v>170527</v>
      </c>
      <c r="AB26" s="206">
        <v>170527</v>
      </c>
      <c r="AC26" s="206">
        <v>170527</v>
      </c>
      <c r="AD26" s="206">
        <v>170527</v>
      </c>
      <c r="AE26" s="206">
        <v>170527</v>
      </c>
      <c r="AF26" s="65">
        <v>170527</v>
      </c>
      <c r="AG26" s="228">
        <f t="shared" si="1"/>
        <v>2046324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112823129</v>
      </c>
      <c r="I27" s="252"/>
      <c r="J27" s="217"/>
      <c r="K27" s="217"/>
      <c r="L27" s="217"/>
      <c r="M27" s="206"/>
      <c r="N27" s="65"/>
      <c r="O27" s="206"/>
      <c r="P27" s="206">
        <v>91941509</v>
      </c>
      <c r="Q27" s="206">
        <v>20881620</v>
      </c>
      <c r="R27" s="206"/>
      <c r="S27" s="206"/>
      <c r="T27" s="227"/>
      <c r="U27" s="235"/>
      <c r="V27" s="217"/>
      <c r="W27" s="217"/>
      <c r="X27" s="65"/>
      <c r="Y27" s="206"/>
      <c r="Z27" s="65"/>
      <c r="AA27" s="206"/>
      <c r="AB27" s="206">
        <v>91941509</v>
      </c>
      <c r="AC27" s="265">
        <v>20881620</v>
      </c>
      <c r="AD27" s="206"/>
      <c r="AE27" s="206"/>
      <c r="AF27" s="227"/>
      <c r="AG27" s="228">
        <f t="shared" si="1"/>
        <v>112823129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107937856</v>
      </c>
      <c r="I28" s="252"/>
      <c r="J28" s="217"/>
      <c r="K28" s="217"/>
      <c r="L28" s="217"/>
      <c r="M28" s="206"/>
      <c r="N28" s="65"/>
      <c r="O28" s="206"/>
      <c r="P28" s="206">
        <v>91350838</v>
      </c>
      <c r="Q28" s="206">
        <v>16587018</v>
      </c>
      <c r="R28" s="206"/>
      <c r="S28" s="206"/>
      <c r="T28" s="227"/>
      <c r="U28" s="235"/>
      <c r="V28" s="217"/>
      <c r="W28" s="217"/>
      <c r="X28" s="65"/>
      <c r="Y28" s="206"/>
      <c r="Z28" s="65"/>
      <c r="AA28" s="206"/>
      <c r="AB28" s="206">
        <v>91350838</v>
      </c>
      <c r="AC28" s="265">
        <v>16587018</v>
      </c>
      <c r="AD28" s="206"/>
      <c r="AE28" s="206"/>
      <c r="AF28" s="227"/>
      <c r="AG28" s="228">
        <f t="shared" si="1"/>
        <v>107937856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24">
        <f t="shared" si="2"/>
        <v>70546610.50204657</v>
      </c>
      <c r="I29" s="252"/>
      <c r="J29" s="217"/>
      <c r="K29" s="217"/>
      <c r="L29" s="217"/>
      <c r="M29" s="206"/>
      <c r="N29" s="65"/>
      <c r="O29" s="206"/>
      <c r="P29" s="206"/>
      <c r="Q29" s="206"/>
      <c r="R29" s="206"/>
      <c r="S29" s="206">
        <v>70546610.50204657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265"/>
      <c r="AD29" s="206"/>
      <c r="AE29" s="206">
        <v>70546610.50204657</v>
      </c>
      <c r="AF29" s="227"/>
      <c r="AG29" s="228">
        <f>SUM(U29:AF29)</f>
        <v>70546610.50204657</v>
      </c>
      <c r="AH29" s="124">
        <f>+H29-AG29</f>
        <v>0</v>
      </c>
    </row>
    <row r="30" spans="1:48" ht="15.75" thickBot="1">
      <c r="A30" s="794" t="s">
        <v>36</v>
      </c>
      <c r="B30" s="795"/>
      <c r="C30" s="94"/>
      <c r="D30" s="95">
        <f>SUM(D16:D26)</f>
        <v>10717412256</v>
      </c>
      <c r="E30" s="96"/>
      <c r="F30" s="97"/>
      <c r="G30" s="98"/>
      <c r="H30" s="323">
        <f>SUM(H16:H28)</f>
        <v>11884527047.668839</v>
      </c>
      <c r="I30" s="313">
        <f>SUM(I16:I28)</f>
        <v>893117688</v>
      </c>
      <c r="J30" s="313">
        <f t="shared" ref="J30:O30" si="3">SUM(J16:J28)</f>
        <v>893154193</v>
      </c>
      <c r="K30" s="313">
        <f t="shared" si="3"/>
        <v>893053972.02883995</v>
      </c>
      <c r="L30" s="313">
        <f t="shared" si="3"/>
        <v>1139451316</v>
      </c>
      <c r="M30" s="313">
        <f t="shared" si="3"/>
        <v>893122410</v>
      </c>
      <c r="N30" s="313">
        <f t="shared" si="3"/>
        <v>1128044425</v>
      </c>
      <c r="O30" s="313">
        <f t="shared" si="3"/>
        <v>893122410</v>
      </c>
      <c r="P30" s="313">
        <f t="shared" ref="P30:AF30" si="4">SUM(P16:P28)</f>
        <v>1076414757</v>
      </c>
      <c r="Q30" s="313">
        <f t="shared" si="4"/>
        <v>1167322201</v>
      </c>
      <c r="R30" s="313">
        <f t="shared" si="4"/>
        <v>891555422</v>
      </c>
      <c r="S30" s="313">
        <f t="shared" si="4"/>
        <v>891555422</v>
      </c>
      <c r="T30" s="313">
        <f t="shared" si="4"/>
        <v>1124612831.6399999</v>
      </c>
      <c r="U30" s="245">
        <f t="shared" si="4"/>
        <v>893117688</v>
      </c>
      <c r="V30" s="245">
        <f t="shared" si="4"/>
        <v>893154193</v>
      </c>
      <c r="W30" s="245">
        <f t="shared" si="4"/>
        <v>893053972</v>
      </c>
      <c r="X30" s="245">
        <f t="shared" si="4"/>
        <v>1139451316</v>
      </c>
      <c r="Y30" s="245">
        <f t="shared" si="4"/>
        <v>893122410</v>
      </c>
      <c r="Z30" s="245">
        <f t="shared" si="4"/>
        <v>1128044425</v>
      </c>
      <c r="AA30" s="245">
        <f t="shared" si="4"/>
        <v>893122410</v>
      </c>
      <c r="AB30" s="245">
        <f t="shared" si="4"/>
        <v>1076414757</v>
      </c>
      <c r="AC30" s="245">
        <f t="shared" si="4"/>
        <v>1167322201</v>
      </c>
      <c r="AD30" s="245">
        <f t="shared" si="4"/>
        <v>891555422</v>
      </c>
      <c r="AE30" s="245">
        <f t="shared" si="4"/>
        <v>891555422</v>
      </c>
      <c r="AF30" s="245">
        <f t="shared" si="4"/>
        <v>1124612831.6399999</v>
      </c>
      <c r="AG30" s="337">
        <f>SUM(U30:AF30)</f>
        <v>11884527047.639999</v>
      </c>
      <c r="AH30" s="120">
        <f t="shared" si="0"/>
        <v>2.8839111328125E-2</v>
      </c>
      <c r="AK30" s="149"/>
      <c r="AL30" s="149"/>
      <c r="AS30" s="207">
        <v>4760478</v>
      </c>
    </row>
    <row r="31" spans="1:48" ht="15" thickBot="1">
      <c r="D31" s="265">
        <v>33939771</v>
      </c>
      <c r="E31" s="5">
        <v>0.7</v>
      </c>
      <c r="F31" s="5">
        <v>0.3</v>
      </c>
      <c r="G31" s="5">
        <v>8.3333333333333343E-2</v>
      </c>
      <c r="H31" s="149">
        <f>100%/3</f>
        <v>0.33333333333333331</v>
      </c>
      <c r="AK31" s="170"/>
      <c r="AL31" s="149"/>
      <c r="AM31" s="469"/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74" t="s">
        <v>38</v>
      </c>
      <c r="I32" s="775"/>
      <c r="J32" s="775"/>
      <c r="K32" s="775"/>
      <c r="L32" s="775"/>
      <c r="M32" s="775"/>
      <c r="N32" s="776"/>
      <c r="O32" s="777"/>
      <c r="P32" s="777"/>
      <c r="Q32" s="777"/>
      <c r="R32" s="777"/>
      <c r="S32" s="777"/>
      <c r="T32" s="778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4" ht="30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7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4" ht="15.75" thickBot="1">
      <c r="A34" s="573">
        <v>1</v>
      </c>
      <c r="B34" s="608" t="s">
        <v>99</v>
      </c>
      <c r="C34" s="615">
        <v>1392</v>
      </c>
      <c r="D34" s="610">
        <v>2218914</v>
      </c>
      <c r="E34" s="611">
        <f>+D34*$E$31</f>
        <v>1553239.7999999998</v>
      </c>
      <c r="F34" s="612">
        <f>+D34*$F$31</f>
        <v>665674.19999999995</v>
      </c>
      <c r="G34" s="613"/>
      <c r="H34" s="334">
        <f>SUM(I34:T34)</f>
        <v>2218914</v>
      </c>
      <c r="I34" s="331"/>
      <c r="J34" s="249"/>
      <c r="K34" s="250">
        <v>1553239.7999999998</v>
      </c>
      <c r="L34" s="212"/>
      <c r="M34" s="212"/>
      <c r="N34" s="212"/>
      <c r="O34" s="212"/>
      <c r="P34" s="212"/>
      <c r="Q34" s="212"/>
      <c r="R34" s="212">
        <v>665674.19999999995</v>
      </c>
      <c r="S34" s="212"/>
      <c r="T34" s="248"/>
      <c r="U34" s="234"/>
      <c r="V34" s="220"/>
      <c r="W34" s="209">
        <v>1553239.7999999998</v>
      </c>
      <c r="X34" s="209"/>
      <c r="Y34" s="209"/>
      <c r="Z34" s="209"/>
      <c r="AA34" s="209"/>
      <c r="AB34" s="209"/>
      <c r="AC34" s="209"/>
      <c r="AD34" s="209">
        <v>665674.19999999995</v>
      </c>
      <c r="AE34" s="209"/>
      <c r="AF34" s="209"/>
      <c r="AG34" s="218">
        <f>SUM(U34:AF34)</f>
        <v>2218914</v>
      </c>
      <c r="AH34" s="123">
        <f t="shared" ref="AH34:AH82" si="5">+H34-AG34</f>
        <v>0</v>
      </c>
      <c r="AK34" s="234"/>
      <c r="AL34" s="220"/>
      <c r="AM34" s="209"/>
      <c r="AN34" s="209"/>
      <c r="AO34" s="209"/>
      <c r="AP34" s="209"/>
      <c r="AQ34" s="209">
        <v>83156.82633081617</v>
      </c>
      <c r="AR34" s="209">
        <v>333980.81605960336</v>
      </c>
      <c r="AS34" s="209">
        <v>177234.65945486983</v>
      </c>
      <c r="AT34" s="209">
        <v>137203.89955906928</v>
      </c>
      <c r="AU34" s="209">
        <v>125190.7599555295</v>
      </c>
      <c r="AV34" s="225">
        <v>92768.442102907124</v>
      </c>
      <c r="AW34" s="226">
        <f>SUM(AK34:AV34)</f>
        <v>949535.40346279519</v>
      </c>
      <c r="AX34" s="123">
        <f>+AG34-AW34</f>
        <v>1269378.5965372049</v>
      </c>
      <c r="AY34" s="207">
        <v>2737389</v>
      </c>
      <c r="BA34" s="149">
        <f>+(AX34*AZ35)/AY35</f>
        <v>3.3889389525166909E-2</v>
      </c>
      <c r="BB34" s="207">
        <f>+AY34*BA34</f>
        <v>92768.442102907124</v>
      </c>
    </row>
    <row r="35" spans="1:54" ht="15">
      <c r="A35" s="573">
        <v>2</v>
      </c>
      <c r="B35" s="608" t="s">
        <v>100</v>
      </c>
      <c r="C35" s="615">
        <v>1392</v>
      </c>
      <c r="D35" s="610">
        <v>62711880</v>
      </c>
      <c r="E35" s="583">
        <f>+D35*$E$31</f>
        <v>43898316</v>
      </c>
      <c r="F35" s="584">
        <f>+D35*$F$31</f>
        <v>18813564</v>
      </c>
      <c r="G35" s="614"/>
      <c r="H35" s="324">
        <f>SUM(I35:T35)</f>
        <v>62711880</v>
      </c>
      <c r="I35" s="250"/>
      <c r="J35" s="251"/>
      <c r="K35" s="250">
        <v>43898316</v>
      </c>
      <c r="L35" s="212"/>
      <c r="M35" s="212"/>
      <c r="N35" s="212"/>
      <c r="O35" s="212"/>
      <c r="P35" s="212"/>
      <c r="Q35" s="212"/>
      <c r="R35" s="212">
        <v>18813564</v>
      </c>
      <c r="S35" s="212"/>
      <c r="T35" s="248"/>
      <c r="U35" s="237"/>
      <c r="V35" s="217"/>
      <c r="W35" s="212">
        <v>43898316</v>
      </c>
      <c r="X35" s="212"/>
      <c r="Y35" s="212"/>
      <c r="Z35" s="212"/>
      <c r="AA35" s="212"/>
      <c r="AB35" s="212"/>
      <c r="AC35" s="212"/>
      <c r="AD35" s="212">
        <v>18813564</v>
      </c>
      <c r="AE35" s="212"/>
      <c r="AF35" s="212"/>
      <c r="AG35" s="218">
        <f>SUM(U35:AF35)</f>
        <v>62711880</v>
      </c>
      <c r="AH35" s="123">
        <f t="shared" si="5"/>
        <v>0</v>
      </c>
      <c r="AK35" s="237"/>
      <c r="AL35" s="217"/>
      <c r="AM35" s="212"/>
      <c r="AN35" s="212"/>
      <c r="AO35" s="212"/>
      <c r="AP35" s="212"/>
      <c r="AQ35" s="212">
        <v>2350213.1736691841</v>
      </c>
      <c r="AR35" s="212">
        <v>9439106.1839403957</v>
      </c>
      <c r="AS35" s="212">
        <v>4583243.34054513</v>
      </c>
      <c r="AT35" s="212">
        <v>3938647.1004409306</v>
      </c>
      <c r="AU35" s="212">
        <v>3568908.2400444704</v>
      </c>
      <c r="AV35" s="248">
        <v>2644620.5578970928</v>
      </c>
      <c r="AW35" s="226">
        <f>SUM(AK35:AV35)</f>
        <v>26524738.596537203</v>
      </c>
      <c r="AX35" s="431">
        <f t="shared" ref="AX35:AX77" si="6">+AG35-AW35</f>
        <v>36187141.403462797</v>
      </c>
      <c r="AY35" s="170">
        <f>+AX34+AX35</f>
        <v>37456520</v>
      </c>
      <c r="AZ35" s="149">
        <v>1</v>
      </c>
      <c r="BA35" s="149">
        <f>+(AX35*AZ35)/AY35</f>
        <v>0.96611061047483315</v>
      </c>
      <c r="BB35" s="207">
        <f>+AY34*BA35</f>
        <v>2644620.5578970932</v>
      </c>
    </row>
    <row r="36" spans="1:54" ht="15">
      <c r="A36" s="573">
        <v>3</v>
      </c>
      <c r="B36" s="575" t="s">
        <v>74</v>
      </c>
      <c r="C36" s="576">
        <v>3116</v>
      </c>
      <c r="D36" s="577">
        <v>83469589</v>
      </c>
      <c r="E36" s="578">
        <f>+D36*G31</f>
        <v>6955799.083333334</v>
      </c>
      <c r="F36" s="579">
        <f>+D36*G31</f>
        <v>6955799.083333334</v>
      </c>
      <c r="G36" s="580">
        <f>+D36*G31</f>
        <v>6955799.083333334</v>
      </c>
      <c r="H36" s="324">
        <f t="shared" ref="H36:H82" si="7">SUM(I36:T36)</f>
        <v>83469589</v>
      </c>
      <c r="I36" s="252"/>
      <c r="J36" s="251"/>
      <c r="K36" s="252"/>
      <c r="L36" s="206"/>
      <c r="M36" s="206"/>
      <c r="N36" s="206">
        <v>41734795</v>
      </c>
      <c r="O36" s="212">
        <v>6955799</v>
      </c>
      <c r="P36" s="212">
        <v>6955799</v>
      </c>
      <c r="Q36" s="212">
        <v>6955799</v>
      </c>
      <c r="R36" s="212">
        <v>6955799</v>
      </c>
      <c r="S36" s="212">
        <v>6955799</v>
      </c>
      <c r="T36" s="248">
        <v>6955799</v>
      </c>
      <c r="U36" s="235"/>
      <c r="V36" s="217"/>
      <c r="W36" s="206"/>
      <c r="X36" s="206"/>
      <c r="Y36" s="206"/>
      <c r="Z36" s="206"/>
      <c r="AA36" s="206">
        <v>6955799</v>
      </c>
      <c r="AB36" s="206">
        <f>41734795+6955799</f>
        <v>48690594</v>
      </c>
      <c r="AC36" s="206">
        <v>6955799</v>
      </c>
      <c r="AD36" s="206">
        <v>6955799</v>
      </c>
      <c r="AE36" s="206"/>
      <c r="AF36" s="206">
        <v>6955799</v>
      </c>
      <c r="AG36" s="219">
        <f>SUM(U36:AF36)</f>
        <v>76513790</v>
      </c>
      <c r="AH36" s="124">
        <f t="shared" si="5"/>
        <v>6955799</v>
      </c>
      <c r="AK36" s="235"/>
      <c r="AL36" s="217"/>
      <c r="AM36" s="206"/>
      <c r="AN36" s="206">
        <v>0</v>
      </c>
      <c r="AO36" s="206"/>
      <c r="AP36" s="206">
        <v>18290051</v>
      </c>
      <c r="AQ36" s="206">
        <v>6365281</v>
      </c>
      <c r="AR36" s="206">
        <v>19095843</v>
      </c>
      <c r="AS36" s="206">
        <v>6365281</v>
      </c>
      <c r="AT36" s="206">
        <v>6365281</v>
      </c>
      <c r="AU36" s="206">
        <v>7373378</v>
      </c>
      <c r="AV36" s="227">
        <v>8394210</v>
      </c>
      <c r="AW36" s="228">
        <f>SUM(AK36:AV36)</f>
        <v>72249325</v>
      </c>
      <c r="AX36" s="431">
        <f>+AG36-AW36</f>
        <v>4264465</v>
      </c>
      <c r="AZ36" s="502"/>
      <c r="BA36" s="207"/>
    </row>
    <row r="37" spans="1:54" ht="15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1">
        <f t="shared" si="6"/>
        <v>0</v>
      </c>
      <c r="AZ37" s="502"/>
      <c r="BA37" s="207"/>
    </row>
    <row r="38" spans="1:54" ht="15">
      <c r="A38" s="573">
        <v>5</v>
      </c>
      <c r="B38" s="575" t="s">
        <v>101</v>
      </c>
      <c r="C38" s="576">
        <v>1974</v>
      </c>
      <c r="D38" s="577">
        <v>232970455</v>
      </c>
      <c r="E38" s="578">
        <f>+D38*E31</f>
        <v>163079318.5</v>
      </c>
      <c r="F38" s="579">
        <f>+D38*F31</f>
        <v>69891136.5</v>
      </c>
      <c r="G38" s="580"/>
      <c r="H38" s="324">
        <f t="shared" si="7"/>
        <v>232970455</v>
      </c>
      <c r="I38" s="252"/>
      <c r="J38" s="251"/>
      <c r="K38" s="252">
        <v>163079318.5</v>
      </c>
      <c r="L38" s="206"/>
      <c r="M38" s="206"/>
      <c r="N38" s="206"/>
      <c r="O38" s="212"/>
      <c r="P38" s="212"/>
      <c r="Q38" s="212"/>
      <c r="R38" s="212">
        <v>69891136.5</v>
      </c>
      <c r="S38" s="212"/>
      <c r="T38" s="248"/>
      <c r="U38" s="235"/>
      <c r="V38" s="217"/>
      <c r="W38" s="206">
        <v>163079318.5</v>
      </c>
      <c r="X38" s="206"/>
      <c r="Y38" s="206"/>
      <c r="Z38" s="206"/>
      <c r="AA38" s="206"/>
      <c r="AB38" s="206"/>
      <c r="AC38" s="206"/>
      <c r="AD38" s="206">
        <v>69891136.5</v>
      </c>
      <c r="AE38" s="206"/>
      <c r="AF38" s="206"/>
      <c r="AG38" s="219">
        <f>SUM(U38:AF38)</f>
        <v>232970455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>
        <v>12267866.876225028</v>
      </c>
      <c r="AS38" s="206">
        <v>21678372.317800656</v>
      </c>
      <c r="AT38" s="206">
        <v>3917804.9364756402</v>
      </c>
      <c r="AU38" s="206">
        <v>7313765.6614213381</v>
      </c>
      <c r="AV38" s="227">
        <v>29236406.097025096</v>
      </c>
      <c r="AW38" s="228">
        <f>SUM(AK38:AV38)</f>
        <v>74414215.888947755</v>
      </c>
      <c r="AX38" s="431">
        <f t="shared" si="6"/>
        <v>158556239.11105224</v>
      </c>
      <c r="AY38" s="473">
        <f>+AR38+AR39</f>
        <v>12742267</v>
      </c>
      <c r="AZ38" s="149">
        <f>+(AR38*AZ35)/AY38</f>
        <v>0.96276956653200163</v>
      </c>
      <c r="BA38" s="207">
        <f>+AY39*AZ38</f>
        <v>29236406.097025096</v>
      </c>
    </row>
    <row r="39" spans="1:54" ht="15">
      <c r="A39" s="573">
        <v>6</v>
      </c>
      <c r="B39" s="575" t="s">
        <v>102</v>
      </c>
      <c r="C39" s="576">
        <v>1974</v>
      </c>
      <c r="D39" s="577">
        <v>9009000</v>
      </c>
      <c r="E39" s="578">
        <f>+D39*E31</f>
        <v>6306300</v>
      </c>
      <c r="F39" s="579">
        <f>+D39*F31</f>
        <v>2702700</v>
      </c>
      <c r="G39" s="580"/>
      <c r="H39" s="324">
        <f t="shared" si="7"/>
        <v>9009000</v>
      </c>
      <c r="I39" s="252"/>
      <c r="J39" s="251"/>
      <c r="K39" s="252">
        <v>6306300</v>
      </c>
      <c r="L39" s="206"/>
      <c r="M39" s="206"/>
      <c r="N39" s="206"/>
      <c r="O39" s="212"/>
      <c r="P39" s="212"/>
      <c r="Q39" s="212"/>
      <c r="R39" s="212">
        <v>2702700</v>
      </c>
      <c r="S39" s="212"/>
      <c r="T39" s="248"/>
      <c r="U39" s="235"/>
      <c r="V39" s="217"/>
      <c r="W39" s="206">
        <v>6306300</v>
      </c>
      <c r="X39" s="206"/>
      <c r="Y39" s="206"/>
      <c r="Z39" s="206"/>
      <c r="AA39" s="206"/>
      <c r="AB39" s="206"/>
      <c r="AC39" s="206"/>
      <c r="AD39" s="206">
        <v>2702700</v>
      </c>
      <c r="AE39" s="206"/>
      <c r="AF39" s="206"/>
      <c r="AG39" s="219">
        <f t="shared" ref="AG39:AG67" si="8">SUM(U39:AF39)</f>
        <v>9009000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>
        <v>474400.12377497094</v>
      </c>
      <c r="AS39" s="206">
        <v>838305.68219934218</v>
      </c>
      <c r="AT39" s="206">
        <v>151502.06352435995</v>
      </c>
      <c r="AU39" s="206">
        <v>282824.33857866155</v>
      </c>
      <c r="AV39" s="227">
        <v>1130575.9029749034</v>
      </c>
      <c r="AW39" s="228">
        <f t="shared" ref="AW39:AW45" si="9">SUM(AK39:AV39)</f>
        <v>2877608.1110522375</v>
      </c>
      <c r="AX39" s="431">
        <f t="shared" si="6"/>
        <v>6131391.8889477625</v>
      </c>
      <c r="AY39" s="207">
        <v>30366982</v>
      </c>
      <c r="AZ39" s="149">
        <f>+(AR39*AZ35)/AY38</f>
        <v>3.7230433467998349E-2</v>
      </c>
      <c r="BA39" s="207">
        <f>+AY39*AZ39</f>
        <v>1130575.9029749034</v>
      </c>
    </row>
    <row r="40" spans="1:54" ht="15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1">
        <f t="shared" si="6"/>
        <v>0</v>
      </c>
      <c r="AZ40" s="149"/>
    </row>
    <row r="41" spans="1:54" ht="15">
      <c r="A41" s="573">
        <v>8</v>
      </c>
      <c r="B41" s="575" t="s">
        <v>76</v>
      </c>
      <c r="C41" s="576">
        <v>1621</v>
      </c>
      <c r="D41" s="577">
        <v>30491110</v>
      </c>
      <c r="E41" s="578">
        <f>+D41*E31</f>
        <v>21343777</v>
      </c>
      <c r="F41" s="579">
        <f>+D41*F31</f>
        <v>9147333</v>
      </c>
      <c r="G41" s="580"/>
      <c r="H41" s="324">
        <f t="shared" si="7"/>
        <v>30491110</v>
      </c>
      <c r="I41" s="252"/>
      <c r="J41" s="251"/>
      <c r="K41" s="252">
        <v>21343777</v>
      </c>
      <c r="L41" s="206"/>
      <c r="M41" s="206"/>
      <c r="N41" s="206"/>
      <c r="O41" s="212"/>
      <c r="P41" s="212"/>
      <c r="Q41" s="212"/>
      <c r="R41" s="212">
        <v>9147333</v>
      </c>
      <c r="S41" s="212"/>
      <c r="T41" s="248"/>
      <c r="U41" s="2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/>
      <c r="AN41" s="206"/>
      <c r="AO41" s="206"/>
      <c r="AP41" s="206">
        <v>7571619</v>
      </c>
      <c r="AQ41" s="206">
        <v>2523873</v>
      </c>
      <c r="AR41" s="206">
        <v>7571619</v>
      </c>
      <c r="AS41" s="206">
        <v>2523873</v>
      </c>
      <c r="AT41" s="206">
        <v>2523873</v>
      </c>
      <c r="AU41" s="206">
        <v>2523873</v>
      </c>
      <c r="AV41" s="227">
        <v>2523873</v>
      </c>
      <c r="AW41" s="228">
        <f t="shared" si="9"/>
        <v>27762603</v>
      </c>
      <c r="AX41" s="431">
        <f t="shared" si="6"/>
        <v>2728507</v>
      </c>
    </row>
    <row r="42" spans="1:54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6"/>
        <v>0</v>
      </c>
    </row>
    <row r="43" spans="1:54" ht="15">
      <c r="A43" s="573">
        <v>10</v>
      </c>
      <c r="B43" s="575" t="s">
        <v>104</v>
      </c>
      <c r="C43" s="576" t="s">
        <v>190</v>
      </c>
      <c r="D43" s="577">
        <f>149805996+1000009</f>
        <v>150806005</v>
      </c>
      <c r="E43" s="578">
        <f>+D43*E31</f>
        <v>105564203.5</v>
      </c>
      <c r="F43" s="579">
        <f>+D43*F31</f>
        <v>45241801.5</v>
      </c>
      <c r="G43" s="580"/>
      <c r="H43" s="324">
        <f t="shared" si="7"/>
        <v>150806005</v>
      </c>
      <c r="I43" s="252"/>
      <c r="J43" s="251"/>
      <c r="K43" s="252"/>
      <c r="L43" s="206">
        <v>104864197</v>
      </c>
      <c r="M43" s="206"/>
      <c r="N43" s="206"/>
      <c r="O43" s="212">
        <v>700007</v>
      </c>
      <c r="P43" s="212"/>
      <c r="Q43" s="212"/>
      <c r="R43" s="212">
        <v>45241801</v>
      </c>
      <c r="S43" s="212"/>
      <c r="T43" s="248"/>
      <c r="U43" s="235"/>
      <c r="V43" s="217"/>
      <c r="W43" s="206"/>
      <c r="X43" s="206">
        <v>104864197</v>
      </c>
      <c r="Y43" s="206"/>
      <c r="Z43" s="206"/>
      <c r="AA43" s="206">
        <v>700007</v>
      </c>
      <c r="AB43" s="206"/>
      <c r="AC43" s="206"/>
      <c r="AD43" s="206">
        <v>45241801</v>
      </c>
      <c r="AE43" s="206"/>
      <c r="AF43" s="206"/>
      <c r="AG43" s="219">
        <f t="shared" si="8"/>
        <v>150806005</v>
      </c>
      <c r="AH43" s="124">
        <f t="shared" si="5"/>
        <v>0</v>
      </c>
      <c r="AK43" s="235"/>
      <c r="AL43" s="217"/>
      <c r="AM43" s="206"/>
      <c r="AN43" s="206"/>
      <c r="AO43" s="206"/>
      <c r="AP43" s="206">
        <v>37835885</v>
      </c>
      <c r="AQ43" s="206">
        <v>12623419</v>
      </c>
      <c r="AR43" s="206">
        <v>37870257</v>
      </c>
      <c r="AS43" s="206">
        <v>12623419</v>
      </c>
      <c r="AT43" s="206">
        <v>12825719</v>
      </c>
      <c r="AU43" s="206">
        <v>14555995</v>
      </c>
      <c r="AV43" s="227">
        <v>12623419</v>
      </c>
      <c r="AW43" s="228">
        <f t="shared" si="9"/>
        <v>140958113</v>
      </c>
      <c r="AX43" s="431">
        <f t="shared" si="6"/>
        <v>9847892</v>
      </c>
    </row>
    <row r="44" spans="1:54" ht="15">
      <c r="A44" s="573">
        <v>11</v>
      </c>
      <c r="B44" s="575" t="s">
        <v>78</v>
      </c>
      <c r="C44" s="576">
        <v>1305</v>
      </c>
      <c r="D44" s="577">
        <v>59106502</v>
      </c>
      <c r="E44" s="578">
        <f>+D44*E31</f>
        <v>41374551.399999999</v>
      </c>
      <c r="F44" s="579">
        <f>+D44*F31</f>
        <v>17731950.599999998</v>
      </c>
      <c r="G44" s="580"/>
      <c r="H44" s="324">
        <f t="shared" si="7"/>
        <v>59106502</v>
      </c>
      <c r="I44" s="252"/>
      <c r="J44" s="221"/>
      <c r="K44" s="252"/>
      <c r="L44" s="206"/>
      <c r="M44" s="206">
        <v>41374551.399999999</v>
      </c>
      <c r="N44" s="206"/>
      <c r="O44" s="212"/>
      <c r="P44" s="212"/>
      <c r="Q44" s="212"/>
      <c r="R44" s="212"/>
      <c r="S44" s="212"/>
      <c r="T44" s="248">
        <v>17731950.599999998</v>
      </c>
      <c r="U44" s="235"/>
      <c r="V44" s="217"/>
      <c r="W44" s="206"/>
      <c r="X44" s="206"/>
      <c r="Y44" s="206">
        <v>41374551.399999999</v>
      </c>
      <c r="Z44" s="206"/>
      <c r="AA44" s="206"/>
      <c r="AB44" s="206"/>
      <c r="AC44" s="206"/>
      <c r="AD44" s="206"/>
      <c r="AE44" s="206"/>
      <c r="AF44" s="206">
        <v>17731950.599999998</v>
      </c>
      <c r="AG44" s="219">
        <f t="shared" si="8"/>
        <v>59106502</v>
      </c>
      <c r="AH44" s="124">
        <f t="shared" si="5"/>
        <v>0</v>
      </c>
      <c r="AK44" s="235"/>
      <c r="AL44" s="217"/>
      <c r="AM44" s="206"/>
      <c r="AN44" s="206">
        <v>0</v>
      </c>
      <c r="AO44" s="206"/>
      <c r="AP44" s="206"/>
      <c r="AQ44" s="206">
        <v>3471340</v>
      </c>
      <c r="AR44" s="206">
        <v>14064985</v>
      </c>
      <c r="AS44" s="206">
        <v>5148206</v>
      </c>
      <c r="AT44" s="206">
        <v>4764032</v>
      </c>
      <c r="AU44" s="206">
        <v>4782576</v>
      </c>
      <c r="AV44" s="227">
        <v>4796276</v>
      </c>
      <c r="AW44" s="228">
        <f t="shared" si="9"/>
        <v>37027415</v>
      </c>
      <c r="AX44" s="431">
        <f t="shared" si="6"/>
        <v>22079087</v>
      </c>
    </row>
    <row r="45" spans="1:54" s="190" customFormat="1" ht="15">
      <c r="A45" s="573">
        <v>12</v>
      </c>
      <c r="B45" s="618" t="s">
        <v>79</v>
      </c>
      <c r="C45" s="603" t="s">
        <v>231</v>
      </c>
      <c r="D45" s="597">
        <v>118313650</v>
      </c>
      <c r="E45" s="598">
        <f>+D45*E31</f>
        <v>82819555</v>
      </c>
      <c r="F45" s="599">
        <f>+D45*F31</f>
        <v>35494095</v>
      </c>
      <c r="G45" s="600"/>
      <c r="H45" s="361">
        <f t="shared" si="7"/>
        <v>118313650</v>
      </c>
      <c r="I45" s="253"/>
      <c r="J45" s="232"/>
      <c r="K45" s="253"/>
      <c r="L45" s="231">
        <v>82819555</v>
      </c>
      <c r="M45" s="231"/>
      <c r="N45" s="231"/>
      <c r="O45" s="212"/>
      <c r="P45" s="212"/>
      <c r="Q45" s="212"/>
      <c r="R45" s="212">
        <v>35494095</v>
      </c>
      <c r="S45" s="212"/>
      <c r="T45" s="248"/>
      <c r="U45" s="238"/>
      <c r="V45" s="230"/>
      <c r="W45" s="231"/>
      <c r="X45" s="231">
        <v>82819555</v>
      </c>
      <c r="Y45" s="231"/>
      <c r="Z45" s="231"/>
      <c r="AA45" s="231"/>
      <c r="AB45" s="231"/>
      <c r="AC45" s="231"/>
      <c r="AD45" s="231">
        <v>35494095</v>
      </c>
      <c r="AE45" s="231"/>
      <c r="AF45" s="231"/>
      <c r="AG45" s="359">
        <f t="shared" si="8"/>
        <v>118313650</v>
      </c>
      <c r="AH45" s="350">
        <f t="shared" si="5"/>
        <v>0</v>
      </c>
      <c r="AK45" s="238"/>
      <c r="AL45" s="230"/>
      <c r="AM45" s="231"/>
      <c r="AN45" s="231"/>
      <c r="AO45" s="231"/>
      <c r="AP45" s="231"/>
      <c r="AQ45" s="231"/>
      <c r="AR45" s="231">
        <v>4382563</v>
      </c>
      <c r="AS45" s="231">
        <v>13406836</v>
      </c>
      <c r="AT45" s="231">
        <v>1397075</v>
      </c>
      <c r="AU45" s="231">
        <v>1726389</v>
      </c>
      <c r="AV45" s="436">
        <v>39100997</v>
      </c>
      <c r="AW45" s="450">
        <f t="shared" si="9"/>
        <v>60013860</v>
      </c>
      <c r="AX45" s="431">
        <f t="shared" si="6"/>
        <v>58299790</v>
      </c>
    </row>
    <row r="46" spans="1:54" ht="15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6"/>
        <v>0</v>
      </c>
    </row>
    <row r="47" spans="1:54" ht="15">
      <c r="A47" s="573">
        <v>14</v>
      </c>
      <c r="B47" s="575" t="s">
        <v>81</v>
      </c>
      <c r="C47" s="576">
        <v>2627</v>
      </c>
      <c r="D47" s="577">
        <v>172012100</v>
      </c>
      <c r="E47" s="578">
        <f>+D47*E31</f>
        <v>120408469.99999999</v>
      </c>
      <c r="F47" s="579">
        <f>+D47*F31</f>
        <v>51603630</v>
      </c>
      <c r="G47" s="580"/>
      <c r="H47" s="324">
        <f t="shared" si="7"/>
        <v>172012100</v>
      </c>
      <c r="I47" s="252"/>
      <c r="J47" s="221"/>
      <c r="K47" s="252"/>
      <c r="L47" s="206">
        <v>0</v>
      </c>
      <c r="M47" s="206">
        <v>120408470</v>
      </c>
      <c r="N47" s="206"/>
      <c r="O47" s="212"/>
      <c r="P47" s="212"/>
      <c r="Q47" s="212"/>
      <c r="R47" s="212">
        <v>51603630</v>
      </c>
      <c r="S47" s="212"/>
      <c r="T47" s="248"/>
      <c r="U47" s="235"/>
      <c r="V47" s="206"/>
      <c r="W47" s="206"/>
      <c r="X47" s="206"/>
      <c r="Y47" s="206">
        <v>120408470</v>
      </c>
      <c r="Z47" s="206"/>
      <c r="AA47" s="206"/>
      <c r="AB47" s="206"/>
      <c r="AC47" s="206"/>
      <c r="AD47" s="206">
        <v>51603630</v>
      </c>
      <c r="AE47" s="206"/>
      <c r="AF47" s="206"/>
      <c r="AG47" s="219">
        <f t="shared" si="8"/>
        <v>172012100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>
        <v>5554200</v>
      </c>
      <c r="AS47" s="206">
        <v>1851400</v>
      </c>
      <c r="AT47" s="206">
        <v>1851400</v>
      </c>
      <c r="AU47" s="206">
        <v>2684161</v>
      </c>
      <c r="AV47" s="227">
        <v>2273611</v>
      </c>
      <c r="AW47" s="228">
        <f t="shared" ref="AW47:AW67" si="10">SUM(AK47:AV47)</f>
        <v>14214772</v>
      </c>
      <c r="AX47" s="431">
        <f t="shared" si="6"/>
        <v>157797328</v>
      </c>
    </row>
    <row r="48" spans="1:54" ht="15">
      <c r="A48" s="18">
        <v>15</v>
      </c>
      <c r="B48" s="7" t="s">
        <v>82</v>
      </c>
      <c r="C48" s="147"/>
      <c r="D48" s="13"/>
      <c r="E48" s="142"/>
      <c r="F48" s="143"/>
      <c r="G48" s="160"/>
      <c r="H48" s="324">
        <f t="shared" si="7"/>
        <v>0</v>
      </c>
      <c r="I48" s="252"/>
      <c r="J48" s="221"/>
      <c r="K48" s="252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8"/>
        <v>0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1">
        <f t="shared" si="6"/>
        <v>0</v>
      </c>
    </row>
    <row r="49" spans="1:53" ht="15">
      <c r="A49" s="573">
        <v>16</v>
      </c>
      <c r="B49" s="575" t="s">
        <v>83</v>
      </c>
      <c r="C49" s="576">
        <v>2053</v>
      </c>
      <c r="D49" s="577">
        <v>30390434</v>
      </c>
      <c r="E49" s="578">
        <f>+D49*E31</f>
        <v>21273303.799999997</v>
      </c>
      <c r="F49" s="579">
        <f>+D49*F31</f>
        <v>9117130.1999999993</v>
      </c>
      <c r="G49" s="580"/>
      <c r="H49" s="324">
        <f t="shared" si="7"/>
        <v>30390434</v>
      </c>
      <c r="I49" s="252"/>
      <c r="J49" s="221"/>
      <c r="K49" s="252"/>
      <c r="L49" s="206">
        <v>21273303</v>
      </c>
      <c r="M49" s="206"/>
      <c r="N49" s="206"/>
      <c r="O49" s="212"/>
      <c r="P49" s="212"/>
      <c r="Q49" s="212"/>
      <c r="R49" s="212">
        <v>9117131</v>
      </c>
      <c r="S49" s="212"/>
      <c r="T49" s="248"/>
      <c r="U49" s="235"/>
      <c r="V49" s="206"/>
      <c r="W49" s="206"/>
      <c r="X49" s="206">
        <v>21273303</v>
      </c>
      <c r="Y49" s="206"/>
      <c r="Z49" s="206"/>
      <c r="AA49" s="206"/>
      <c r="AB49" s="206"/>
      <c r="AC49" s="206"/>
      <c r="AD49" s="206"/>
      <c r="AE49" s="206">
        <v>9117131</v>
      </c>
      <c r="AF49" s="206"/>
      <c r="AG49" s="219">
        <f t="shared" si="8"/>
        <v>30390434</v>
      </c>
      <c r="AH49" s="124">
        <f t="shared" si="5"/>
        <v>0</v>
      </c>
      <c r="AK49" s="235">
        <v>0</v>
      </c>
      <c r="AL49" s="206">
        <v>0</v>
      </c>
      <c r="AM49" s="206"/>
      <c r="AN49" s="206"/>
      <c r="AO49" s="206"/>
      <c r="AP49" s="206">
        <v>1894932</v>
      </c>
      <c r="AQ49" s="206">
        <v>2091242</v>
      </c>
      <c r="AR49" s="206">
        <v>7853088</v>
      </c>
      <c r="AS49" s="206">
        <v>3589696</v>
      </c>
      <c r="AT49" s="206">
        <v>3704913</v>
      </c>
      <c r="AU49" s="206">
        <v>2889852</v>
      </c>
      <c r="AV49" s="227">
        <v>2884865</v>
      </c>
      <c r="AW49" s="228">
        <f t="shared" si="10"/>
        <v>24908588</v>
      </c>
      <c r="AX49" s="431">
        <f t="shared" si="6"/>
        <v>5481846</v>
      </c>
    </row>
    <row r="50" spans="1:53" ht="15">
      <c r="A50" s="573">
        <v>17</v>
      </c>
      <c r="B50" s="575" t="s">
        <v>95</v>
      </c>
      <c r="C50" s="576">
        <v>1230</v>
      </c>
      <c r="D50" s="577">
        <v>10995660</v>
      </c>
      <c r="E50" s="578">
        <f>+D50*$E$31</f>
        <v>7696961.9999999991</v>
      </c>
      <c r="F50" s="579">
        <f>+D50*$F$31</f>
        <v>3298698</v>
      </c>
      <c r="G50" s="580"/>
      <c r="H50" s="324">
        <f t="shared" si="7"/>
        <v>10995660</v>
      </c>
      <c r="I50" s="252"/>
      <c r="J50" s="221"/>
      <c r="K50" s="252">
        <v>7696961.9999999991</v>
      </c>
      <c r="L50" s="206"/>
      <c r="M50" s="206"/>
      <c r="N50" s="206"/>
      <c r="O50" s="212"/>
      <c r="P50" s="212"/>
      <c r="Q50" s="212"/>
      <c r="R50" s="212">
        <v>2719145.9940595208</v>
      </c>
      <c r="S50" s="212">
        <v>579552.00594048016</v>
      </c>
      <c r="T50" s="248"/>
      <c r="U50" s="235"/>
      <c r="V50" s="206"/>
      <c r="W50" s="206">
        <v>7696961.9999999991</v>
      </c>
      <c r="X50" s="206"/>
      <c r="Y50" s="206"/>
      <c r="Z50" s="206"/>
      <c r="AA50" s="206"/>
      <c r="AB50" s="206"/>
      <c r="AC50" s="206"/>
      <c r="AD50" s="206">
        <v>2719145.9940595208</v>
      </c>
      <c r="AE50" s="206">
        <v>579552.00594048016</v>
      </c>
      <c r="AF50" s="206"/>
      <c r="AG50" s="219">
        <f t="shared" si="8"/>
        <v>10995660</v>
      </c>
      <c r="AH50" s="124">
        <f t="shared" si="5"/>
        <v>0</v>
      </c>
      <c r="AK50" s="235"/>
      <c r="AL50" s="206"/>
      <c r="AM50" s="206"/>
      <c r="AN50" s="206"/>
      <c r="AO50" s="206"/>
      <c r="AP50" s="206"/>
      <c r="AQ50" s="206"/>
      <c r="AR50" s="206">
        <v>959511.74659948586</v>
      </c>
      <c r="AS50" s="206">
        <v>402228.55958016787</v>
      </c>
      <c r="AT50" s="206">
        <v>1807423.232139806</v>
      </c>
      <c r="AU50" s="206">
        <v>703833.10746726673</v>
      </c>
      <c r="AV50" s="227">
        <v>735004.72167131887</v>
      </c>
      <c r="AW50" s="228">
        <f t="shared" si="10"/>
        <v>4608001.3674580455</v>
      </c>
      <c r="AX50" s="431">
        <f t="shared" si="6"/>
        <v>6387658.6325419545</v>
      </c>
      <c r="AY50" s="207">
        <v>13472526</v>
      </c>
      <c r="AZ50" s="149">
        <v>1</v>
      </c>
    </row>
    <row r="51" spans="1:53" ht="15">
      <c r="A51" s="573">
        <v>18</v>
      </c>
      <c r="B51" s="575" t="s">
        <v>96</v>
      </c>
      <c r="C51" s="576">
        <v>1230</v>
      </c>
      <c r="D51" s="577">
        <v>128282700</v>
      </c>
      <c r="E51" s="578">
        <f>+D51*$E$31</f>
        <v>89797890</v>
      </c>
      <c r="F51" s="579">
        <f>+D51*$F$31</f>
        <v>38484810</v>
      </c>
      <c r="G51" s="580"/>
      <c r="H51" s="324">
        <f t="shared" si="7"/>
        <v>128282700</v>
      </c>
      <c r="I51" s="252"/>
      <c r="J51" s="221"/>
      <c r="K51" s="252">
        <v>89797890</v>
      </c>
      <c r="L51" s="206"/>
      <c r="M51" s="206"/>
      <c r="N51" s="206"/>
      <c r="O51" s="212"/>
      <c r="P51" s="212"/>
      <c r="Q51" s="212"/>
      <c r="R51" s="212">
        <v>19034021.958416644</v>
      </c>
      <c r="S51" s="212">
        <v>19450788.041583359</v>
      </c>
      <c r="T51" s="248"/>
      <c r="U51" s="235"/>
      <c r="V51" s="206"/>
      <c r="W51" s="206">
        <v>89797890</v>
      </c>
      <c r="X51" s="206"/>
      <c r="Y51" s="206"/>
      <c r="Z51" s="206"/>
      <c r="AA51" s="206"/>
      <c r="AB51" s="206"/>
      <c r="AC51" s="206"/>
      <c r="AD51" s="206">
        <v>19034021.958416644</v>
      </c>
      <c r="AE51" s="206">
        <v>19450788.041583359</v>
      </c>
      <c r="AF51" s="206"/>
      <c r="AG51" s="219">
        <f t="shared" si="8"/>
        <v>128282700</v>
      </c>
      <c r="AH51" s="124">
        <f t="shared" si="5"/>
        <v>0</v>
      </c>
      <c r="AK51" s="235"/>
      <c r="AL51" s="206"/>
      <c r="AM51" s="206"/>
      <c r="AN51" s="206"/>
      <c r="AO51" s="206"/>
      <c r="AP51" s="206"/>
      <c r="AQ51" s="206"/>
      <c r="AR51" s="206">
        <v>11194303.710327337</v>
      </c>
      <c r="AS51" s="206">
        <v>4692666.5284352917</v>
      </c>
      <c r="AT51" s="206">
        <v>21086604.374964405</v>
      </c>
      <c r="AU51" s="206">
        <v>8211386.2537847785</v>
      </c>
      <c r="AV51" s="227">
        <v>8575055.0861653872</v>
      </c>
      <c r="AW51" s="228">
        <f t="shared" si="10"/>
        <v>53760015.953677192</v>
      </c>
      <c r="AX51" s="431">
        <f t="shared" si="6"/>
        <v>74522684.046322808</v>
      </c>
      <c r="AY51" s="170">
        <f>+AX50+AX51+AX52+AX53</f>
        <v>117084822.00000001</v>
      </c>
      <c r="AZ51" s="502">
        <f>+(AX50*$AZ$50)/$AY$51</f>
        <v>5.4555821356093055E-2</v>
      </c>
      <c r="BA51" s="207">
        <f>+$AY$50*AZ51</f>
        <v>735004.72167131898</v>
      </c>
    </row>
    <row r="52" spans="1:53" ht="15">
      <c r="A52" s="573">
        <v>19</v>
      </c>
      <c r="B52" s="575" t="s">
        <v>97</v>
      </c>
      <c r="C52" s="576">
        <v>1230</v>
      </c>
      <c r="D52" s="577">
        <v>37061700</v>
      </c>
      <c r="E52" s="578">
        <f>+D52*$E$31</f>
        <v>25943190</v>
      </c>
      <c r="F52" s="579">
        <f>+D52*$F$31</f>
        <v>11118510</v>
      </c>
      <c r="G52" s="580"/>
      <c r="H52" s="324">
        <f t="shared" si="7"/>
        <v>37061700</v>
      </c>
      <c r="I52" s="252"/>
      <c r="J52" s="221"/>
      <c r="K52" s="252">
        <v>25943190</v>
      </c>
      <c r="L52" s="206"/>
      <c r="M52" s="206"/>
      <c r="N52" s="206"/>
      <c r="O52" s="212"/>
      <c r="P52" s="212"/>
      <c r="Q52" s="212"/>
      <c r="R52" s="212">
        <v>3807035.8576117442</v>
      </c>
      <c r="S52" s="212">
        <v>7311474.1423882544</v>
      </c>
      <c r="T52" s="248"/>
      <c r="U52" s="235"/>
      <c r="V52" s="206"/>
      <c r="W52" s="206">
        <v>25943190</v>
      </c>
      <c r="X52" s="206"/>
      <c r="Y52" s="206"/>
      <c r="Z52" s="206"/>
      <c r="AA52" s="206"/>
      <c r="AB52" s="206"/>
      <c r="AC52" s="206"/>
      <c r="AD52" s="206">
        <v>3807035.8576117442</v>
      </c>
      <c r="AE52" s="206">
        <v>7311474.1423882544</v>
      </c>
      <c r="AF52" s="206"/>
      <c r="AG52" s="219">
        <f t="shared" si="8"/>
        <v>37061700</v>
      </c>
      <c r="AH52" s="124">
        <f t="shared" si="5"/>
        <v>0</v>
      </c>
      <c r="AK52" s="235"/>
      <c r="AL52" s="206"/>
      <c r="AM52" s="206"/>
      <c r="AN52" s="206"/>
      <c r="AO52" s="206"/>
      <c r="AP52" s="206"/>
      <c r="AQ52" s="206"/>
      <c r="AR52" s="206">
        <v>3234106.5928690196</v>
      </c>
      <c r="AS52" s="206">
        <v>1355741.6477585074</v>
      </c>
      <c r="AT52" s="206">
        <v>6092056.1023709225</v>
      </c>
      <c r="AU52" s="206">
        <v>2372322.4871467105</v>
      </c>
      <c r="AV52" s="227">
        <v>2477388.7600349523</v>
      </c>
      <c r="AW52" s="228">
        <f t="shared" si="10"/>
        <v>15531615.590180112</v>
      </c>
      <c r="AX52" s="431">
        <f t="shared" si="6"/>
        <v>21530084.409819886</v>
      </c>
      <c r="AZ52" s="502">
        <f>+(AX51*$AZ$50)/$AY$51</f>
        <v>0.6364845824877523</v>
      </c>
      <c r="BA52" s="207">
        <f>+$AY$50*AZ52</f>
        <v>8575055.0861653872</v>
      </c>
    </row>
    <row r="53" spans="1:53" ht="15">
      <c r="A53" s="573">
        <v>20</v>
      </c>
      <c r="B53" s="575" t="s">
        <v>98</v>
      </c>
      <c r="C53" s="576">
        <v>1230</v>
      </c>
      <c r="D53" s="577">
        <v>25208734</v>
      </c>
      <c r="E53" s="578">
        <f>+D53*$E$31</f>
        <v>17646113.799999997</v>
      </c>
      <c r="F53" s="579">
        <f>+D53*$F$31</f>
        <v>7562620.1999999993</v>
      </c>
      <c r="G53" s="580"/>
      <c r="H53" s="324">
        <f t="shared" si="7"/>
        <v>25208734</v>
      </c>
      <c r="I53" s="252"/>
      <c r="J53" s="221"/>
      <c r="K53" s="252">
        <v>17646113.799999997</v>
      </c>
      <c r="L53" s="206"/>
      <c r="M53" s="206"/>
      <c r="N53" s="206"/>
      <c r="O53" s="212"/>
      <c r="P53" s="212"/>
      <c r="Q53" s="212"/>
      <c r="R53" s="212">
        <v>964663.18991209287</v>
      </c>
      <c r="S53" s="212">
        <v>6597957.010087911</v>
      </c>
      <c r="T53" s="248"/>
      <c r="U53" s="235"/>
      <c r="V53" s="206"/>
      <c r="W53" s="206">
        <v>17646113.799999997</v>
      </c>
      <c r="X53" s="206"/>
      <c r="Y53" s="206"/>
      <c r="Z53" s="206"/>
      <c r="AA53" s="206"/>
      <c r="AB53" s="206"/>
      <c r="AC53" s="206"/>
      <c r="AD53" s="206">
        <v>964663.18991209287</v>
      </c>
      <c r="AE53" s="206">
        <v>6597957.010087911</v>
      </c>
      <c r="AF53" s="206"/>
      <c r="AG53" s="219">
        <f t="shared" si="8"/>
        <v>25208734</v>
      </c>
      <c r="AH53" s="124">
        <f t="shared" si="5"/>
        <v>0</v>
      </c>
      <c r="AK53" s="235"/>
      <c r="AL53" s="206"/>
      <c r="AM53" s="206"/>
      <c r="AN53" s="206"/>
      <c r="AO53" s="206"/>
      <c r="AP53" s="206"/>
      <c r="AQ53" s="206"/>
      <c r="AR53" s="206">
        <v>2199783.9502041568</v>
      </c>
      <c r="AS53" s="206">
        <v>922152.26422603126</v>
      </c>
      <c r="AT53" s="206">
        <v>4143712.2905248641</v>
      </c>
      <c r="AU53" s="206">
        <v>1613613.1516012445</v>
      </c>
      <c r="AV53" s="227">
        <v>1685077.4321283409</v>
      </c>
      <c r="AW53" s="228">
        <f t="shared" si="10"/>
        <v>10564339.088684637</v>
      </c>
      <c r="AX53" s="431">
        <f t="shared" si="6"/>
        <v>14644394.911315363</v>
      </c>
      <c r="AZ53" s="502">
        <f>+(AX52*$AZ$50)/$AY$51</f>
        <v>0.18388450391819261</v>
      </c>
      <c r="BA53" s="207">
        <f>+$AY$50*AZ53</f>
        <v>2477388.7600349518</v>
      </c>
    </row>
    <row r="54" spans="1:53" ht="15">
      <c r="A54" s="573">
        <v>21</v>
      </c>
      <c r="B54" s="575" t="s">
        <v>84</v>
      </c>
      <c r="C54" s="576">
        <v>3117</v>
      </c>
      <c r="D54" s="577">
        <v>18964450</v>
      </c>
      <c r="E54" s="578">
        <f>+D54*$E$31</f>
        <v>13275115</v>
      </c>
      <c r="F54" s="579">
        <f>+D54*$F$31</f>
        <v>5689335</v>
      </c>
      <c r="G54" s="580"/>
      <c r="H54" s="324">
        <f t="shared" si="7"/>
        <v>18964450</v>
      </c>
      <c r="I54" s="252"/>
      <c r="J54" s="221"/>
      <c r="K54" s="252"/>
      <c r="L54" s="206"/>
      <c r="M54" s="206"/>
      <c r="N54" s="206">
        <v>13275115</v>
      </c>
      <c r="O54" s="212"/>
      <c r="P54" s="212"/>
      <c r="Q54" s="212"/>
      <c r="R54" s="212">
        <v>5689335</v>
      </c>
      <c r="S54" s="212"/>
      <c r="T54" s="248"/>
      <c r="U54" s="235"/>
      <c r="V54" s="206"/>
      <c r="W54" s="206"/>
      <c r="X54" s="206"/>
      <c r="Y54" s="206"/>
      <c r="Z54" s="206">
        <v>13275115</v>
      </c>
      <c r="AA54" s="206"/>
      <c r="AB54" s="206"/>
      <c r="AC54" s="206"/>
      <c r="AD54" s="206">
        <v>5689335</v>
      </c>
      <c r="AE54" s="206"/>
      <c r="AF54" s="206"/>
      <c r="AG54" s="219">
        <f t="shared" si="8"/>
        <v>18964450</v>
      </c>
      <c r="AH54" s="124">
        <f t="shared" si="5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>
        <v>3277522</v>
      </c>
      <c r="AW54" s="228">
        <f t="shared" si="10"/>
        <v>3277522</v>
      </c>
      <c r="AX54" s="431">
        <f t="shared" si="6"/>
        <v>15686928</v>
      </c>
      <c r="AZ54" s="502">
        <f>+(AX53*$AZ$50)/$AY$51</f>
        <v>0.12507509223796198</v>
      </c>
      <c r="BA54" s="207">
        <f>+$AY$50*AZ54</f>
        <v>1685077.4321283409</v>
      </c>
    </row>
    <row r="55" spans="1:53" ht="15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7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1">
        <f t="shared" si="6"/>
        <v>0</v>
      </c>
    </row>
    <row r="56" spans="1:53" ht="15">
      <c r="A56" s="573">
        <v>23</v>
      </c>
      <c r="B56" s="575" t="s">
        <v>86</v>
      </c>
      <c r="C56" s="576">
        <v>1728</v>
      </c>
      <c r="D56" s="577">
        <v>50661000</v>
      </c>
      <c r="E56" s="578">
        <f>+D56*E31</f>
        <v>35462700</v>
      </c>
      <c r="F56" s="579">
        <f>+D56*F31</f>
        <v>15198300</v>
      </c>
      <c r="G56" s="580"/>
      <c r="H56" s="324">
        <f t="shared" si="7"/>
        <v>50661000</v>
      </c>
      <c r="I56" s="252"/>
      <c r="J56" s="221"/>
      <c r="K56" s="252">
        <v>35462700</v>
      </c>
      <c r="L56" s="206"/>
      <c r="M56" s="206"/>
      <c r="N56" s="206"/>
      <c r="O56" s="212"/>
      <c r="P56" s="212"/>
      <c r="Q56" s="212"/>
      <c r="R56" s="212">
        <v>15198300</v>
      </c>
      <c r="S56" s="212"/>
      <c r="T56" s="248"/>
      <c r="U56" s="235"/>
      <c r="V56" s="206"/>
      <c r="W56" s="206">
        <v>35462700</v>
      </c>
      <c r="X56" s="206"/>
      <c r="Y56" s="206"/>
      <c r="Z56" s="206"/>
      <c r="AA56" s="206"/>
      <c r="AB56" s="206"/>
      <c r="AC56" s="206"/>
      <c r="AD56" s="206">
        <v>15198300</v>
      </c>
      <c r="AE56" s="206"/>
      <c r="AF56" s="206"/>
      <c r="AG56" s="219">
        <f t="shared" si="8"/>
        <v>50661000</v>
      </c>
      <c r="AH56" s="124">
        <f t="shared" si="5"/>
        <v>0</v>
      </c>
      <c r="AK56" s="235">
        <v>0</v>
      </c>
      <c r="AL56" s="206"/>
      <c r="AM56" s="206"/>
      <c r="AN56" s="206">
        <v>0</v>
      </c>
      <c r="AO56" s="206"/>
      <c r="AP56" s="206">
        <v>8696527</v>
      </c>
      <c r="AQ56" s="206">
        <v>4173797</v>
      </c>
      <c r="AR56" s="206">
        <v>12604215</v>
      </c>
      <c r="AS56" s="206">
        <v>4281816</v>
      </c>
      <c r="AT56" s="206">
        <v>4173797</v>
      </c>
      <c r="AU56" s="206">
        <v>4173797</v>
      </c>
      <c r="AV56" s="227">
        <v>6824273</v>
      </c>
      <c r="AW56" s="228">
        <f t="shared" si="10"/>
        <v>44928222</v>
      </c>
      <c r="AX56" s="431">
        <f t="shared" si="6"/>
        <v>5732778</v>
      </c>
    </row>
    <row r="57" spans="1:53" ht="15">
      <c r="A57" s="573">
        <v>24</v>
      </c>
      <c r="B57" s="575" t="s">
        <v>87</v>
      </c>
      <c r="C57" s="576">
        <v>2125</v>
      </c>
      <c r="D57" s="577">
        <v>68820000</v>
      </c>
      <c r="E57" s="578">
        <f>+D57*E31</f>
        <v>48174000</v>
      </c>
      <c r="F57" s="579">
        <f>+D57*F31</f>
        <v>20646000</v>
      </c>
      <c r="G57" s="580"/>
      <c r="H57" s="324">
        <f t="shared" si="7"/>
        <v>68820000</v>
      </c>
      <c r="I57" s="252"/>
      <c r="J57" s="221"/>
      <c r="K57" s="252"/>
      <c r="L57" s="206">
        <v>48174000</v>
      </c>
      <c r="M57" s="206"/>
      <c r="N57" s="206"/>
      <c r="O57" s="212"/>
      <c r="P57" s="212"/>
      <c r="Q57" s="212"/>
      <c r="R57" s="212">
        <v>20646000</v>
      </c>
      <c r="S57" s="212"/>
      <c r="T57" s="248"/>
      <c r="U57" s="235"/>
      <c r="V57" s="206"/>
      <c r="W57" s="206"/>
      <c r="X57" s="206">
        <v>48174000</v>
      </c>
      <c r="Y57" s="206"/>
      <c r="Z57" s="206"/>
      <c r="AA57" s="206"/>
      <c r="AB57" s="206"/>
      <c r="AC57" s="206"/>
      <c r="AD57" s="206">
        <v>20646000</v>
      </c>
      <c r="AE57" s="206"/>
      <c r="AF57" s="206"/>
      <c r="AG57" s="219">
        <f t="shared" si="8"/>
        <v>68820000</v>
      </c>
      <c r="AH57" s="124">
        <f t="shared" si="5"/>
        <v>0</v>
      </c>
      <c r="AK57" s="235"/>
      <c r="AL57" s="206"/>
      <c r="AM57" s="206"/>
      <c r="AN57" s="206"/>
      <c r="AO57" s="206"/>
      <c r="AP57" s="206">
        <v>9594954</v>
      </c>
      <c r="AQ57" s="206">
        <v>6185202</v>
      </c>
      <c r="AR57" s="206">
        <v>18254092</v>
      </c>
      <c r="AS57" s="206">
        <v>5891696</v>
      </c>
      <c r="AT57" s="206">
        <v>7651390</v>
      </c>
      <c r="AU57" s="206">
        <v>6300448</v>
      </c>
      <c r="AV57" s="227">
        <v>6789589</v>
      </c>
      <c r="AW57" s="228">
        <f t="shared" si="10"/>
        <v>60667371</v>
      </c>
      <c r="AX57" s="431">
        <f t="shared" si="6"/>
        <v>8152629</v>
      </c>
    </row>
    <row r="58" spans="1:53" s="190" customFormat="1" ht="28.5">
      <c r="A58" s="573">
        <v>25</v>
      </c>
      <c r="B58" s="595" t="s">
        <v>109</v>
      </c>
      <c r="C58" s="603">
        <v>2118</v>
      </c>
      <c r="D58" s="597">
        <v>24637224</v>
      </c>
      <c r="E58" s="598">
        <f>+D58*E31</f>
        <v>17246056.800000001</v>
      </c>
      <c r="F58" s="599">
        <f>+D58*F31</f>
        <v>7391167.2000000002</v>
      </c>
      <c r="G58" s="600"/>
      <c r="H58" s="361">
        <f t="shared" si="7"/>
        <v>24637224</v>
      </c>
      <c r="I58" s="253"/>
      <c r="J58" s="232"/>
      <c r="K58" s="253"/>
      <c r="L58" s="231">
        <v>17246056</v>
      </c>
      <c r="M58" s="231"/>
      <c r="N58" s="231"/>
      <c r="O58" s="212"/>
      <c r="P58" s="212"/>
      <c r="Q58" s="212"/>
      <c r="R58" s="212">
        <v>7391168</v>
      </c>
      <c r="S58" s="212"/>
      <c r="T58" s="248"/>
      <c r="U58" s="238"/>
      <c r="V58" s="231"/>
      <c r="W58" s="231"/>
      <c r="X58" s="231">
        <v>17246056</v>
      </c>
      <c r="Y58" s="231"/>
      <c r="Z58" s="231"/>
      <c r="AA58" s="231"/>
      <c r="AB58" s="231"/>
      <c r="AC58" s="231"/>
      <c r="AD58" s="231">
        <v>7391168</v>
      </c>
      <c r="AE58" s="231"/>
      <c r="AF58" s="231"/>
      <c r="AG58" s="359">
        <f t="shared" si="8"/>
        <v>24637224</v>
      </c>
      <c r="AH58" s="350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>
        <v>4664800</v>
      </c>
      <c r="AT58" s="231"/>
      <c r="AU58" s="231">
        <v>179400</v>
      </c>
      <c r="AV58" s="436"/>
      <c r="AW58" s="450">
        <f t="shared" si="10"/>
        <v>4844200</v>
      </c>
      <c r="AX58" s="431">
        <f t="shared" si="6"/>
        <v>19793024</v>
      </c>
    </row>
    <row r="59" spans="1:53" ht="15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6"/>
        <v>0</v>
      </c>
    </row>
    <row r="60" spans="1:53" ht="15">
      <c r="A60" s="573">
        <v>27</v>
      </c>
      <c r="B60" s="575" t="s">
        <v>89</v>
      </c>
      <c r="C60" s="576" t="s">
        <v>318</v>
      </c>
      <c r="D60" s="577">
        <f>276894504+92298168</f>
        <v>369192672</v>
      </c>
      <c r="E60" s="578">
        <f>+D60*G31</f>
        <v>30766056.000000004</v>
      </c>
      <c r="F60" s="579">
        <f>+D60*G31</f>
        <v>30766056.000000004</v>
      </c>
      <c r="G60" s="580">
        <f>+D60*G31</f>
        <v>30766056.000000004</v>
      </c>
      <c r="H60" s="324">
        <f t="shared" si="7"/>
        <v>415341756</v>
      </c>
      <c r="I60" s="252"/>
      <c r="J60" s="221"/>
      <c r="K60" s="252">
        <v>69223626</v>
      </c>
      <c r="L60" s="206">
        <v>23074542</v>
      </c>
      <c r="M60" s="206">
        <v>23074542</v>
      </c>
      <c r="N60" s="206">
        <v>23074542</v>
      </c>
      <c r="O60" s="212">
        <v>23074542</v>
      </c>
      <c r="P60" s="212">
        <v>23074542</v>
      </c>
      <c r="Q60" s="212">
        <v>23074542</v>
      </c>
      <c r="R60" s="212">
        <v>69223626</v>
      </c>
      <c r="S60" s="212">
        <v>23074542</v>
      </c>
      <c r="T60" s="248">
        <v>115372710</v>
      </c>
      <c r="U60" s="235"/>
      <c r="V60" s="206"/>
      <c r="W60" s="206">
        <v>69223626</v>
      </c>
      <c r="X60" s="206">
        <v>23074542</v>
      </c>
      <c r="Y60" s="206">
        <v>23074542</v>
      </c>
      <c r="Z60" s="206"/>
      <c r="AA60" s="206"/>
      <c r="AB60" s="206">
        <v>23074542</v>
      </c>
      <c r="AC60" s="206">
        <f>46149084+23074542</f>
        <v>69223626</v>
      </c>
      <c r="AD60" s="206">
        <v>69223626</v>
      </c>
      <c r="AE60" s="206"/>
      <c r="AF60" s="206">
        <v>89288091</v>
      </c>
      <c r="AG60" s="219">
        <f t="shared" si="8"/>
        <v>366182595</v>
      </c>
      <c r="AH60" s="124">
        <f t="shared" si="5"/>
        <v>49159161</v>
      </c>
      <c r="AK60" s="235"/>
      <c r="AL60" s="206"/>
      <c r="AM60" s="206"/>
      <c r="AN60" s="206"/>
      <c r="AO60" s="206"/>
      <c r="AP60" s="206">
        <v>62162892</v>
      </c>
      <c r="AQ60" s="206">
        <v>29780561</v>
      </c>
      <c r="AR60" s="206">
        <v>65917268</v>
      </c>
      <c r="AS60" s="206">
        <v>25499968</v>
      </c>
      <c r="AT60" s="206">
        <v>88267829</v>
      </c>
      <c r="AU60" s="206">
        <v>28680881</v>
      </c>
      <c r="AV60" s="227">
        <v>37852514</v>
      </c>
      <c r="AW60" s="228">
        <f t="shared" si="10"/>
        <v>338161913</v>
      </c>
      <c r="AX60" s="431">
        <f t="shared" si="6"/>
        <v>28020682</v>
      </c>
    </row>
    <row r="61" spans="1:53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1">
        <f t="shared" si="6"/>
        <v>0</v>
      </c>
    </row>
    <row r="62" spans="1:53" ht="15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7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1">
        <f t="shared" si="6"/>
        <v>0</v>
      </c>
    </row>
    <row r="63" spans="1:53" ht="15">
      <c r="A63" s="573">
        <v>30</v>
      </c>
      <c r="B63" s="575" t="s">
        <v>90</v>
      </c>
      <c r="C63" s="576">
        <v>2120</v>
      </c>
      <c r="D63" s="577">
        <v>284731996</v>
      </c>
      <c r="E63" s="578">
        <f>+D63*E31</f>
        <v>199312397.19999999</v>
      </c>
      <c r="F63" s="579">
        <f>+D63*F31</f>
        <v>85419598.799999997</v>
      </c>
      <c r="G63" s="580"/>
      <c r="H63" s="324">
        <f t="shared" si="7"/>
        <v>284731996</v>
      </c>
      <c r="I63" s="252"/>
      <c r="J63" s="221"/>
      <c r="K63" s="252"/>
      <c r="L63" s="206">
        <v>199312397</v>
      </c>
      <c r="M63" s="206"/>
      <c r="N63" s="206"/>
      <c r="O63" s="212"/>
      <c r="P63" s="212"/>
      <c r="Q63" s="212"/>
      <c r="R63" s="212">
        <v>85419599</v>
      </c>
      <c r="S63" s="212"/>
      <c r="T63" s="248"/>
      <c r="U63" s="235"/>
      <c r="V63" s="206"/>
      <c r="W63" s="206"/>
      <c r="X63" s="206">
        <v>199312397</v>
      </c>
      <c r="Y63" s="206"/>
      <c r="Z63" s="206"/>
      <c r="AA63" s="206"/>
      <c r="AB63" s="206"/>
      <c r="AC63" s="206"/>
      <c r="AD63" s="206">
        <v>85419599</v>
      </c>
      <c r="AE63" s="206"/>
      <c r="AF63" s="206"/>
      <c r="AG63" s="219">
        <f t="shared" si="8"/>
        <v>284731996</v>
      </c>
      <c r="AH63" s="124">
        <f t="shared" si="5"/>
        <v>0</v>
      </c>
      <c r="AK63" s="235"/>
      <c r="AL63" s="206"/>
      <c r="AM63" s="206"/>
      <c r="AO63" s="206"/>
      <c r="AP63" s="206">
        <v>12676920</v>
      </c>
      <c r="AQ63" s="206">
        <v>4285013</v>
      </c>
      <c r="AR63" s="206">
        <v>43284341</v>
      </c>
      <c r="AS63" s="206">
        <v>37491691</v>
      </c>
      <c r="AT63" s="206">
        <v>4240484</v>
      </c>
      <c r="AU63" s="206">
        <v>84138901</v>
      </c>
      <c r="AV63" s="227">
        <v>8514916</v>
      </c>
      <c r="AW63" s="228">
        <f t="shared" si="10"/>
        <v>194632266</v>
      </c>
      <c r="AX63" s="431">
        <f t="shared" si="6"/>
        <v>90099730</v>
      </c>
    </row>
    <row r="64" spans="1:53" ht="15">
      <c r="A64" s="573">
        <v>31</v>
      </c>
      <c r="B64" s="575" t="s">
        <v>91</v>
      </c>
      <c r="C64" s="576">
        <v>1605</v>
      </c>
      <c r="D64" s="577">
        <v>25900148</v>
      </c>
      <c r="E64" s="578">
        <f>+D64*E31</f>
        <v>18130103.599999998</v>
      </c>
      <c r="F64" s="579">
        <f>+D64*F31</f>
        <v>7770044.3999999994</v>
      </c>
      <c r="G64" s="580"/>
      <c r="H64" s="324">
        <f t="shared" si="7"/>
        <v>25900148</v>
      </c>
      <c r="I64" s="252"/>
      <c r="J64" s="221"/>
      <c r="K64" s="252">
        <v>18130103</v>
      </c>
      <c r="L64" s="206"/>
      <c r="M64" s="206"/>
      <c r="N64" s="206"/>
      <c r="O64" s="212"/>
      <c r="P64" s="212"/>
      <c r="Q64" s="212"/>
      <c r="R64" s="212">
        <v>7770045</v>
      </c>
      <c r="S64" s="212"/>
      <c r="T64" s="248"/>
      <c r="U64" s="235"/>
      <c r="V64" s="206"/>
      <c r="W64" s="206">
        <v>18130103</v>
      </c>
      <c r="X64" s="206"/>
      <c r="Y64" s="206"/>
      <c r="Z64" s="206"/>
      <c r="AA64" s="206"/>
      <c r="AB64" s="206"/>
      <c r="AC64" s="206"/>
      <c r="AD64" s="206"/>
      <c r="AE64" s="206">
        <v>7770045</v>
      </c>
      <c r="AF64" s="206"/>
      <c r="AG64" s="219">
        <f t="shared" si="8"/>
        <v>25900148</v>
      </c>
      <c r="AH64" s="124">
        <f t="shared" si="5"/>
        <v>0</v>
      </c>
      <c r="AK64" s="235"/>
      <c r="AL64" s="206"/>
      <c r="AM64" s="206">
        <v>0</v>
      </c>
      <c r="AN64" s="206"/>
      <c r="AO64" s="206"/>
      <c r="AP64" s="206">
        <v>692396</v>
      </c>
      <c r="AQ64" s="206">
        <v>632996</v>
      </c>
      <c r="AR64" s="206">
        <v>1207697</v>
      </c>
      <c r="AS64" s="206">
        <v>2732943</v>
      </c>
      <c r="AT64" s="206">
        <v>4639863</v>
      </c>
      <c r="AU64" s="206">
        <v>1639863</v>
      </c>
      <c r="AV64" s="227">
        <v>14767979</v>
      </c>
      <c r="AW64" s="228">
        <f t="shared" si="10"/>
        <v>26313737</v>
      </c>
      <c r="AX64" s="431">
        <f t="shared" si="6"/>
        <v>-413589</v>
      </c>
    </row>
    <row r="65" spans="1:50" ht="15">
      <c r="A65" s="573">
        <v>32</v>
      </c>
      <c r="B65" s="575" t="s">
        <v>92</v>
      </c>
      <c r="C65" s="576">
        <v>1380</v>
      </c>
      <c r="D65" s="577">
        <v>13325004</v>
      </c>
      <c r="E65" s="578">
        <f>+D65*E31</f>
        <v>9327502.7999999989</v>
      </c>
      <c r="F65" s="579">
        <f>+D65*F31</f>
        <v>3997501.1999999997</v>
      </c>
      <c r="G65" s="580"/>
      <c r="H65" s="324">
        <f t="shared" si="7"/>
        <v>13325004</v>
      </c>
      <c r="I65" s="252"/>
      <c r="J65" s="221"/>
      <c r="K65" s="252">
        <v>9327502.7999999989</v>
      </c>
      <c r="L65" s="206"/>
      <c r="M65" s="206"/>
      <c r="N65" s="206"/>
      <c r="O65" s="212"/>
      <c r="P65" s="212"/>
      <c r="Q65" s="212"/>
      <c r="R65" s="212">
        <v>3997501.2000000011</v>
      </c>
      <c r="S65" s="212"/>
      <c r="T65" s="248"/>
      <c r="U65" s="235"/>
      <c r="V65" s="206"/>
      <c r="W65" s="206">
        <v>9327503</v>
      </c>
      <c r="X65" s="206"/>
      <c r="Y65" s="206"/>
      <c r="Z65" s="206"/>
      <c r="AA65" s="206"/>
      <c r="AB65" s="206"/>
      <c r="AC65" s="206"/>
      <c r="AD65" s="206">
        <v>3997501.2000000011</v>
      </c>
      <c r="AE65" s="206"/>
      <c r="AF65" s="206"/>
      <c r="AG65" s="219">
        <f t="shared" si="8"/>
        <v>13325004.200000001</v>
      </c>
      <c r="AH65" s="124">
        <f t="shared" si="5"/>
        <v>-0.20000000111758709</v>
      </c>
      <c r="AK65" s="235"/>
      <c r="AL65" s="206"/>
      <c r="AM65" s="206"/>
      <c r="AN65" s="206"/>
      <c r="AO65" s="206"/>
      <c r="AP65" s="206">
        <v>5000296</v>
      </c>
      <c r="AQ65" s="206">
        <v>1657640</v>
      </c>
      <c r="AR65" s="206">
        <v>4972920</v>
      </c>
      <c r="AS65" s="206">
        <v>1657640</v>
      </c>
      <c r="AT65" s="206">
        <v>1657640</v>
      </c>
      <c r="AU65" s="206">
        <v>1657640</v>
      </c>
      <c r="AV65" s="227">
        <v>1657640</v>
      </c>
      <c r="AW65" s="228">
        <f t="shared" si="10"/>
        <v>18261416</v>
      </c>
      <c r="AX65" s="431">
        <f t="shared" si="6"/>
        <v>-4936411.7999999989</v>
      </c>
    </row>
    <row r="66" spans="1:50" ht="15">
      <c r="A66" s="573">
        <v>33</v>
      </c>
      <c r="B66" s="568" t="s">
        <v>107</v>
      </c>
      <c r="C66" s="569">
        <v>3115</v>
      </c>
      <c r="D66" s="567">
        <v>25639289</v>
      </c>
      <c r="E66" s="563">
        <f>+D66*E31</f>
        <v>17947502.299999997</v>
      </c>
      <c r="F66" s="564">
        <f>+D66*F31</f>
        <v>7691786.6999999993</v>
      </c>
      <c r="G66" s="565"/>
      <c r="H66" s="324">
        <f t="shared" si="7"/>
        <v>25639289</v>
      </c>
      <c r="I66" s="254"/>
      <c r="J66" s="222"/>
      <c r="K66" s="254"/>
      <c r="L66" s="210"/>
      <c r="M66" s="210"/>
      <c r="N66" s="210">
        <v>17947502</v>
      </c>
      <c r="O66" s="212"/>
      <c r="P66" s="212"/>
      <c r="Q66" s="212"/>
      <c r="R66" s="212">
        <v>7691787</v>
      </c>
      <c r="S66" s="212"/>
      <c r="T66" s="248"/>
      <c r="U66" s="236"/>
      <c r="V66" s="210"/>
      <c r="W66" s="210"/>
      <c r="X66" s="210"/>
      <c r="Y66" s="210"/>
      <c r="Z66" s="210">
        <v>17947502</v>
      </c>
      <c r="AA66" s="210"/>
      <c r="AB66" s="210"/>
      <c r="AC66" s="210"/>
      <c r="AD66" s="210">
        <v>7691787</v>
      </c>
      <c r="AE66" s="210"/>
      <c r="AF66" s="210"/>
      <c r="AG66" s="219">
        <f t="shared" si="8"/>
        <v>25639289</v>
      </c>
      <c r="AH66" s="124">
        <f t="shared" si="5"/>
        <v>0</v>
      </c>
      <c r="AK66" s="236">
        <v>0</v>
      </c>
      <c r="AL66" s="210"/>
      <c r="AM66" s="210"/>
      <c r="AN66" s="210"/>
      <c r="AO66" s="210"/>
      <c r="AP66" s="210">
        <v>4935100</v>
      </c>
      <c r="AQ66" s="210">
        <v>1935022</v>
      </c>
      <c r="AR66" s="210">
        <v>5920866</v>
      </c>
      <c r="AS66" s="210">
        <v>1935022</v>
      </c>
      <c r="AT66" s="210">
        <v>1935022</v>
      </c>
      <c r="AU66" s="210">
        <v>2359972</v>
      </c>
      <c r="AV66" s="229">
        <v>2251981</v>
      </c>
      <c r="AW66" s="228">
        <f t="shared" si="10"/>
        <v>21272985</v>
      </c>
      <c r="AX66" s="431">
        <f t="shared" si="6"/>
        <v>4366304</v>
      </c>
    </row>
    <row r="67" spans="1:50" s="190" customFormat="1" ht="30">
      <c r="A67" s="602">
        <v>34</v>
      </c>
      <c r="B67" s="626" t="s">
        <v>180</v>
      </c>
      <c r="C67" s="627" t="s">
        <v>308</v>
      </c>
      <c r="D67" s="628">
        <f>20542133+204990000+11275836+107132762+62044459</f>
        <v>405985190</v>
      </c>
      <c r="E67" s="629">
        <f>24542133*0.7</f>
        <v>17179493.099999998</v>
      </c>
      <c r="F67" s="630">
        <f>24542133*0.3</f>
        <v>7362639.8999999994</v>
      </c>
      <c r="G67" s="631">
        <f>204990000+11275836+107132762</f>
        <v>323398598</v>
      </c>
      <c r="H67" s="486">
        <f t="shared" si="7"/>
        <v>409990190</v>
      </c>
      <c r="I67" s="487"/>
      <c r="J67" s="488"/>
      <c r="K67" s="487">
        <v>17179493</v>
      </c>
      <c r="L67" s="489">
        <v>126313507</v>
      </c>
      <c r="M67" s="489">
        <v>91730952</v>
      </c>
      <c r="N67" s="371"/>
      <c r="O67" s="490"/>
      <c r="P67" s="490">
        <v>74996433</v>
      </c>
      <c r="Q67" s="490"/>
      <c r="R67" s="490">
        <f>28360567+9364779</f>
        <v>37725346</v>
      </c>
      <c r="S67" s="490">
        <v>62044459</v>
      </c>
      <c r="T67" s="491"/>
      <c r="U67" s="472"/>
      <c r="V67" s="371"/>
      <c r="W67" s="371">
        <v>17179493</v>
      </c>
      <c r="X67" s="371">
        <v>126313507</v>
      </c>
      <c r="Y67" s="371">
        <v>91730952</v>
      </c>
      <c r="Z67" s="371"/>
      <c r="AA67" s="371"/>
      <c r="AB67" s="371">
        <v>74996433</v>
      </c>
      <c r="AC67" s="371"/>
      <c r="AD67" s="371">
        <f>28360567+5359781</f>
        <v>33720348</v>
      </c>
      <c r="AE67" s="371">
        <f>58039459+4004998</f>
        <v>62044457</v>
      </c>
      <c r="AF67" s="371"/>
      <c r="AG67" s="359">
        <f t="shared" si="8"/>
        <v>405985190</v>
      </c>
      <c r="AH67" s="350">
        <f t="shared" si="5"/>
        <v>4005000</v>
      </c>
      <c r="AI67" s="677"/>
      <c r="AK67" s="472"/>
      <c r="AL67" s="371"/>
      <c r="AM67" s="371"/>
      <c r="AN67" s="371"/>
      <c r="AO67" s="371"/>
      <c r="AP67" s="371">
        <v>6721368</v>
      </c>
      <c r="AQ67" s="371">
        <v>92740974</v>
      </c>
      <c r="AR67" s="371">
        <v>126507654</v>
      </c>
      <c r="AS67" s="371">
        <v>2791930</v>
      </c>
      <c r="AT67" s="371">
        <v>56139541</v>
      </c>
      <c r="AU67" s="371">
        <v>18584118</v>
      </c>
      <c r="AV67" s="443">
        <v>2791930</v>
      </c>
      <c r="AW67" s="450">
        <f t="shared" si="10"/>
        <v>306277515</v>
      </c>
      <c r="AX67" s="492">
        <f t="shared" si="6"/>
        <v>99707675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73">
        <f t="shared" si="7"/>
        <v>0</v>
      </c>
      <c r="I68" s="254"/>
      <c r="J68" s="222"/>
      <c r="K68" s="254"/>
      <c r="L68" s="210"/>
      <c r="M68" s="210"/>
      <c r="N68" s="210">
        <v>0</v>
      </c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350">
        <f t="shared" si="5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1">
        <f t="shared" si="6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73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350">
        <f t="shared" si="5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1">
        <f t="shared" si="6"/>
        <v>0</v>
      </c>
    </row>
    <row r="70" spans="1:50" ht="15">
      <c r="A70" s="18">
        <v>37</v>
      </c>
      <c r="B70" s="568" t="s">
        <v>132</v>
      </c>
      <c r="C70" s="569">
        <v>2256</v>
      </c>
      <c r="D70" s="567">
        <v>73728029</v>
      </c>
      <c r="E70" s="563">
        <f>+D70*0.5</f>
        <v>36864014.5</v>
      </c>
      <c r="F70" s="564">
        <f>+D70*0.25</f>
        <v>18432007.25</v>
      </c>
      <c r="G70" s="565">
        <f>+D70*0.25</f>
        <v>18432007.25</v>
      </c>
      <c r="H70" s="373">
        <f t="shared" si="7"/>
        <v>73728029</v>
      </c>
      <c r="I70" s="254"/>
      <c r="J70" s="222"/>
      <c r="K70" s="254"/>
      <c r="L70" s="210"/>
      <c r="M70" s="210">
        <v>36864014</v>
      </c>
      <c r="N70" s="210"/>
      <c r="O70" s="212"/>
      <c r="P70" s="212">
        <v>18432007</v>
      </c>
      <c r="Q70" s="212"/>
      <c r="R70" s="212">
        <v>18432008</v>
      </c>
      <c r="S70" s="212"/>
      <c r="T70" s="248"/>
      <c r="U70" s="236"/>
      <c r="V70" s="210"/>
      <c r="W70" s="210"/>
      <c r="X70" s="210"/>
      <c r="Y70" s="210">
        <v>36864014</v>
      </c>
      <c r="Z70" s="210"/>
      <c r="AA70" s="210"/>
      <c r="AB70" s="210"/>
      <c r="AC70" s="210">
        <v>18432007</v>
      </c>
      <c r="AD70" s="210">
        <v>18432008</v>
      </c>
      <c r="AE70" s="210"/>
      <c r="AF70" s="210"/>
      <c r="AG70" s="219">
        <f t="shared" si="11"/>
        <v>73728029</v>
      </c>
      <c r="AH70" s="350">
        <f t="shared" si="5"/>
        <v>0</v>
      </c>
      <c r="AK70" s="236"/>
      <c r="AL70" s="210"/>
      <c r="AM70" s="210"/>
      <c r="AN70" s="210">
        <v>0</v>
      </c>
      <c r="AO70" s="210"/>
      <c r="AP70" s="210">
        <v>19280782</v>
      </c>
      <c r="AQ70" s="210">
        <v>5267450</v>
      </c>
      <c r="AR70" s="210">
        <v>18138675</v>
      </c>
      <c r="AS70" s="210">
        <v>5470776</v>
      </c>
      <c r="AT70" s="210">
        <v>6860661</v>
      </c>
      <c r="AU70" s="210">
        <v>6254945</v>
      </c>
      <c r="AV70" s="229">
        <v>7151184</v>
      </c>
      <c r="AW70" s="228">
        <f t="shared" si="12"/>
        <v>68424473</v>
      </c>
      <c r="AX70" s="431">
        <f t="shared" si="6"/>
        <v>5303556</v>
      </c>
    </row>
    <row r="71" spans="1:50" ht="15">
      <c r="A71" s="18">
        <v>38</v>
      </c>
      <c r="B71" s="52" t="s">
        <v>129</v>
      </c>
      <c r="C71" s="148"/>
      <c r="D71" s="43"/>
      <c r="E71" s="174"/>
      <c r="F71" s="175"/>
      <c r="G71" s="176"/>
      <c r="H71" s="373">
        <f t="shared" si="7"/>
        <v>0</v>
      </c>
      <c r="I71" s="254"/>
      <c r="J71" s="222"/>
      <c r="K71" s="254"/>
      <c r="L71" s="210"/>
      <c r="M71" s="210"/>
      <c r="N71" s="210"/>
      <c r="O71" s="212"/>
      <c r="P71" s="212"/>
      <c r="Q71" s="212"/>
      <c r="R71" s="212"/>
      <c r="S71" s="212"/>
      <c r="T71" s="248"/>
      <c r="U71" s="236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9">
        <f t="shared" si="11"/>
        <v>0</v>
      </c>
      <c r="AH71" s="350">
        <f t="shared" si="5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1">
        <f t="shared" si="6"/>
        <v>0</v>
      </c>
    </row>
    <row r="72" spans="1:50" ht="15">
      <c r="A72" s="573">
        <v>39</v>
      </c>
      <c r="B72" s="568" t="s">
        <v>133</v>
      </c>
      <c r="C72" s="569">
        <v>2214</v>
      </c>
      <c r="D72" s="567">
        <v>2413260</v>
      </c>
      <c r="E72" s="563">
        <v>804420</v>
      </c>
      <c r="F72" s="564">
        <v>804420</v>
      </c>
      <c r="G72" s="565">
        <v>804420</v>
      </c>
      <c r="H72" s="373">
        <f t="shared" si="7"/>
        <v>2413260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1"/>
        <v>796375.8</v>
      </c>
      <c r="AH72" s="350">
        <f t="shared" si="5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>
        <v>840720</v>
      </c>
      <c r="AU72" s="210">
        <v>795000</v>
      </c>
      <c r="AV72" s="229">
        <v>768864</v>
      </c>
      <c r="AW72" s="228">
        <f t="shared" si="12"/>
        <v>2404584</v>
      </c>
      <c r="AX72" s="431">
        <f t="shared" si="6"/>
        <v>-1608208.2</v>
      </c>
    </row>
    <row r="73" spans="1:50" ht="15">
      <c r="A73" s="573">
        <v>40</v>
      </c>
      <c r="B73" s="568" t="s">
        <v>134</v>
      </c>
      <c r="C73" s="569">
        <v>2206</v>
      </c>
      <c r="D73" s="567">
        <v>11130964</v>
      </c>
      <c r="E73" s="563">
        <f>+D73*$H$31</f>
        <v>3710321.333333333</v>
      </c>
      <c r="F73" s="564">
        <f>+D73*$H$31</f>
        <v>3710321.333333333</v>
      </c>
      <c r="G73" s="565">
        <f>+D73*$H$31</f>
        <v>3710321.333333333</v>
      </c>
      <c r="H73" s="373">
        <f t="shared" si="7"/>
        <v>11130964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>
        <v>11130964</v>
      </c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>
        <v>3673218.12</v>
      </c>
      <c r="AG73" s="219">
        <f t="shared" si="11"/>
        <v>3673218.12</v>
      </c>
      <c r="AH73" s="350">
        <f t="shared" si="5"/>
        <v>7457745.8799999999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>
        <v>4253956</v>
      </c>
      <c r="AU73" s="210">
        <v>3395876</v>
      </c>
      <c r="AV73" s="229">
        <v>2478388</v>
      </c>
      <c r="AW73" s="228">
        <f t="shared" si="12"/>
        <v>10128220</v>
      </c>
      <c r="AX73" s="431">
        <f t="shared" si="6"/>
        <v>-6455001.8799999999</v>
      </c>
    </row>
    <row r="74" spans="1:50" ht="15">
      <c r="A74" s="573">
        <v>41</v>
      </c>
      <c r="B74" s="568" t="s">
        <v>135</v>
      </c>
      <c r="C74" s="569">
        <v>2195</v>
      </c>
      <c r="D74" s="567">
        <v>6076992</v>
      </c>
      <c r="E74" s="563">
        <f>+D74*$H$31</f>
        <v>2025664</v>
      </c>
      <c r="F74" s="564">
        <f>+D74*$H$31</f>
        <v>2025664</v>
      </c>
      <c r="G74" s="565">
        <f>+D74*$H$31</f>
        <v>2025664</v>
      </c>
      <c r="H74" s="373">
        <f t="shared" si="7"/>
        <v>6076992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>
        <v>6076992</v>
      </c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>
        <v>2005407.36</v>
      </c>
      <c r="AG74" s="219">
        <f t="shared" si="11"/>
        <v>2005407.36</v>
      </c>
      <c r="AH74" s="350">
        <f t="shared" si="5"/>
        <v>4071584.6399999997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2"/>
        <v>0</v>
      </c>
      <c r="AX74" s="431">
        <f t="shared" si="6"/>
        <v>2005407.36</v>
      </c>
    </row>
    <row r="75" spans="1:50" ht="15">
      <c r="A75" s="18">
        <v>42</v>
      </c>
      <c r="B75" s="52" t="s">
        <v>170</v>
      </c>
      <c r="C75" s="148">
        <v>3119</v>
      </c>
      <c r="D75" s="43">
        <v>2231018</v>
      </c>
      <c r="E75" s="720" t="s">
        <v>172</v>
      </c>
      <c r="F75" s="721"/>
      <c r="G75" s="722"/>
      <c r="H75" s="373">
        <f t="shared" si="7"/>
        <v>0</v>
      </c>
      <c r="I75" s="254"/>
      <c r="J75" s="222"/>
      <c r="K75" s="254"/>
      <c r="L75" s="210"/>
      <c r="M75" s="210"/>
      <c r="N75" s="210"/>
      <c r="O75" s="212"/>
      <c r="P75" s="212"/>
      <c r="Q75" s="212"/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3">SUM(U75:AF75)</f>
        <v>0</v>
      </c>
      <c r="AH75" s="350">
        <f t="shared" si="5"/>
        <v>0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9">
        <v>3118</v>
      </c>
      <c r="D76" s="567">
        <v>4976800</v>
      </c>
      <c r="E76" s="736" t="s">
        <v>172</v>
      </c>
      <c r="F76" s="737"/>
      <c r="G76" s="738"/>
      <c r="H76" s="373">
        <f t="shared" si="7"/>
        <v>4976800</v>
      </c>
      <c r="I76" s="254"/>
      <c r="J76" s="222"/>
      <c r="K76" s="254"/>
      <c r="L76" s="210"/>
      <c r="M76" s="210"/>
      <c r="N76" s="210">
        <v>3483760</v>
      </c>
      <c r="O76" s="212"/>
      <c r="P76" s="212"/>
      <c r="Q76" s="212"/>
      <c r="R76" s="212"/>
      <c r="S76" s="212">
        <v>1493040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3"/>
        <v>0</v>
      </c>
      <c r="AH76" s="350">
        <f t="shared" si="5"/>
        <v>4976800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1">
        <f t="shared" si="6"/>
        <v>0</v>
      </c>
    </row>
    <row r="77" spans="1:50" ht="15">
      <c r="A77" s="18">
        <v>44</v>
      </c>
      <c r="B77" s="52" t="s">
        <v>188</v>
      </c>
      <c r="C77" s="148" t="s">
        <v>307</v>
      </c>
      <c r="D77" s="43">
        <f>52629298+10000000</f>
        <v>62629298</v>
      </c>
      <c r="E77" s="143">
        <f>41227186*0.7</f>
        <v>28859030.199999999</v>
      </c>
      <c r="F77" s="143">
        <f>41227186*0.3</f>
        <v>12368155.799999999</v>
      </c>
      <c r="G77" s="143"/>
      <c r="H77" s="481">
        <f t="shared" si="7"/>
        <v>60077980</v>
      </c>
      <c r="I77" s="254"/>
      <c r="J77" s="222"/>
      <c r="K77" s="254"/>
      <c r="L77" s="210"/>
      <c r="M77" s="210"/>
      <c r="N77" s="210"/>
      <c r="O77" s="212"/>
      <c r="P77" s="212">
        <v>42054586</v>
      </c>
      <c r="Q77" s="212">
        <v>18023394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28859030.199999999</v>
      </c>
      <c r="AC77" s="210"/>
      <c r="AD77" s="210"/>
      <c r="AE77" s="210">
        <v>7981478.3999999948</v>
      </c>
      <c r="AF77" s="210"/>
      <c r="AG77" s="219">
        <f t="shared" si="13"/>
        <v>36840508.599999994</v>
      </c>
      <c r="AH77" s="350">
        <f t="shared" si="5"/>
        <v>23237471.400000006</v>
      </c>
      <c r="AI77" s="170">
        <f>+AH76+AH77</f>
        <v>28214271.400000006</v>
      </c>
      <c r="AK77" s="236"/>
      <c r="AL77" s="210"/>
      <c r="AM77" s="210"/>
      <c r="AN77" s="210"/>
      <c r="AO77" s="210"/>
      <c r="AP77" s="210">
        <v>11063438</v>
      </c>
      <c r="AQ77" s="210">
        <v>5531719</v>
      </c>
      <c r="AR77" s="210">
        <v>9275979</v>
      </c>
      <c r="AS77" s="210">
        <v>1843908</v>
      </c>
      <c r="AT77" s="210">
        <v>1843908</v>
      </c>
      <c r="AU77" s="210">
        <v>1843908</v>
      </c>
      <c r="AV77" s="229">
        <v>3744260</v>
      </c>
      <c r="AW77" s="228">
        <f t="shared" si="14"/>
        <v>35147120</v>
      </c>
      <c r="AX77" s="431">
        <f t="shared" si="6"/>
        <v>1693388.599999994</v>
      </c>
    </row>
    <row r="78" spans="1:50" ht="15">
      <c r="A78" s="18">
        <v>45</v>
      </c>
      <c r="B78" s="52" t="s">
        <v>189</v>
      </c>
      <c r="C78" s="148" t="s">
        <v>192</v>
      </c>
      <c r="D78" s="43">
        <v>119997459</v>
      </c>
      <c r="E78" s="792" t="s">
        <v>172</v>
      </c>
      <c r="F78" s="721"/>
      <c r="G78" s="793"/>
      <c r="H78" s="481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3"/>
        <v>0</v>
      </c>
      <c r="AH78" s="350">
        <f t="shared" si="5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1">
        <f>+AG78-AW78</f>
        <v>0</v>
      </c>
    </row>
    <row r="79" spans="1:50" ht="15">
      <c r="A79" s="573"/>
      <c r="B79" s="568" t="s">
        <v>205</v>
      </c>
      <c r="C79" s="569">
        <v>4545</v>
      </c>
      <c r="D79" s="567">
        <v>27882727</v>
      </c>
      <c r="E79" s="625">
        <f>+D79*0.7</f>
        <v>19517908.899999999</v>
      </c>
      <c r="F79" s="625">
        <f>+D79*0.3</f>
        <v>8364818.0999999996</v>
      </c>
      <c r="G79" s="625"/>
      <c r="H79" s="481">
        <f t="shared" si="7"/>
        <v>27882727</v>
      </c>
      <c r="I79" s="254"/>
      <c r="J79" s="222"/>
      <c r="K79" s="254"/>
      <c r="L79" s="210"/>
      <c r="M79" s="210"/>
      <c r="N79" s="210"/>
      <c r="O79" s="212"/>
      <c r="P79" s="212"/>
      <c r="Q79" s="65">
        <v>19517909</v>
      </c>
      <c r="R79" s="212">
        <v>8364818</v>
      </c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>
        <v>19517909</v>
      </c>
      <c r="AD79" s="210">
        <v>8364818</v>
      </c>
      <c r="AE79" s="210"/>
      <c r="AF79" s="210"/>
      <c r="AG79" s="219">
        <f t="shared" si="13"/>
        <v>27882727</v>
      </c>
      <c r="AH79" s="350">
        <f t="shared" si="5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1">
        <f>+AG79-AW79</f>
        <v>27882727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176"/>
      <c r="H80" s="481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3"/>
        <v>0</v>
      </c>
      <c r="AH80" s="350">
        <f t="shared" si="5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1">
        <f>+AG80-AW80</f>
        <v>0</v>
      </c>
    </row>
    <row r="81" spans="1:50" ht="15">
      <c r="A81" s="621"/>
      <c r="B81" s="568" t="s">
        <v>256</v>
      </c>
      <c r="C81" s="569">
        <v>5757</v>
      </c>
      <c r="D81" s="567">
        <v>16893930</v>
      </c>
      <c r="E81" s="563">
        <f>+D81</f>
        <v>16893930</v>
      </c>
      <c r="F81" s="564"/>
      <c r="G81" s="565"/>
      <c r="H81" s="481">
        <f t="shared" si="7"/>
        <v>16893930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16893930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9">
        <f t="shared" si="13"/>
        <v>0</v>
      </c>
      <c r="AH81" s="350">
        <f t="shared" si="5"/>
        <v>16893930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1">
        <f>+AG81-AW81</f>
        <v>0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481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3"/>
        <v>0</v>
      </c>
      <c r="AH82" s="350">
        <f t="shared" si="5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4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SUM(D34:D81)</f>
        <v>2768865883</v>
      </c>
      <c r="E83" s="86"/>
      <c r="F83" s="87"/>
      <c r="G83" s="88"/>
      <c r="H83" s="348">
        <f t="shared" ref="H83:AG83" si="15">SUM(H34:H82)</f>
        <v>2694240172</v>
      </c>
      <c r="I83" s="255">
        <f t="shared" si="15"/>
        <v>0</v>
      </c>
      <c r="J83" s="256">
        <f t="shared" si="15"/>
        <v>0</v>
      </c>
      <c r="K83" s="256">
        <f t="shared" si="15"/>
        <v>526588531.90000004</v>
      </c>
      <c r="L83" s="256">
        <f t="shared" si="15"/>
        <v>623077557</v>
      </c>
      <c r="M83" s="256">
        <f t="shared" si="15"/>
        <v>313452529.39999998</v>
      </c>
      <c r="N83" s="256">
        <f t="shared" si="15"/>
        <v>99515714</v>
      </c>
      <c r="O83" s="256">
        <f t="shared" si="15"/>
        <v>30730348</v>
      </c>
      <c r="P83" s="256">
        <f t="shared" si="15"/>
        <v>165513367</v>
      </c>
      <c r="Q83" s="256">
        <f t="shared" si="15"/>
        <v>67571644</v>
      </c>
      <c r="R83" s="256">
        <f t="shared" si="15"/>
        <v>600222409.89999998</v>
      </c>
      <c r="S83" s="256">
        <f t="shared" si="15"/>
        <v>127507611.2</v>
      </c>
      <c r="T83" s="256">
        <f t="shared" si="15"/>
        <v>140060459.59999999</v>
      </c>
      <c r="U83" s="241">
        <f t="shared" si="15"/>
        <v>0</v>
      </c>
      <c r="V83" s="241">
        <f t="shared" si="15"/>
        <v>0</v>
      </c>
      <c r="W83" s="241">
        <f t="shared" si="15"/>
        <v>526588532.10000002</v>
      </c>
      <c r="X83" s="241">
        <f t="shared" si="15"/>
        <v>623077557</v>
      </c>
      <c r="Y83" s="241">
        <f t="shared" si="15"/>
        <v>313452529.39999998</v>
      </c>
      <c r="Z83" s="241">
        <f t="shared" si="15"/>
        <v>31222617</v>
      </c>
      <c r="AA83" s="241">
        <f t="shared" si="15"/>
        <v>7655806</v>
      </c>
      <c r="AB83" s="241">
        <f t="shared" si="15"/>
        <v>175620599.19999999</v>
      </c>
      <c r="AC83" s="241">
        <f t="shared" si="15"/>
        <v>114129341</v>
      </c>
      <c r="AD83" s="241">
        <f t="shared" si="15"/>
        <v>542815089.89999998</v>
      </c>
      <c r="AE83" s="241">
        <f t="shared" si="15"/>
        <v>120852882.59999999</v>
      </c>
      <c r="AF83" s="241">
        <f t="shared" si="15"/>
        <v>120450841.88</v>
      </c>
      <c r="AG83" s="241">
        <f t="shared" si="15"/>
        <v>2575865796.0799999</v>
      </c>
      <c r="AH83" s="125">
        <f>+H83-AG83</f>
        <v>118374375.92000008</v>
      </c>
      <c r="AK83" s="425">
        <f t="shared" ref="AK83:AX83" si="16">SUM(AK34:AK82)</f>
        <v>0</v>
      </c>
      <c r="AL83" s="425">
        <f t="shared" si="16"/>
        <v>0</v>
      </c>
      <c r="AM83" s="425">
        <f t="shared" si="16"/>
        <v>0</v>
      </c>
      <c r="AN83" s="425">
        <f t="shared" si="16"/>
        <v>0</v>
      </c>
      <c r="AO83" s="425">
        <f t="shared" si="16"/>
        <v>0</v>
      </c>
      <c r="AP83" s="425">
        <f t="shared" si="16"/>
        <v>206417160</v>
      </c>
      <c r="AQ83" s="425">
        <f t="shared" si="16"/>
        <v>181698899</v>
      </c>
      <c r="AR83" s="425">
        <f t="shared" si="16"/>
        <v>442579322</v>
      </c>
      <c r="AS83" s="425">
        <f t="shared" si="16"/>
        <v>174420846</v>
      </c>
      <c r="AT83" s="425">
        <f t="shared" si="16"/>
        <v>257212058</v>
      </c>
      <c r="AU83" s="425">
        <f t="shared" si="16"/>
        <v>220732817</v>
      </c>
      <c r="AV83" s="438">
        <f t="shared" si="16"/>
        <v>218045188</v>
      </c>
      <c r="AW83" s="451">
        <f t="shared" si="16"/>
        <v>1701106290</v>
      </c>
      <c r="AX83" s="429">
        <f t="shared" si="16"/>
        <v>874759506.07999992</v>
      </c>
    </row>
    <row r="84" spans="1:50" s="376" customFormat="1" ht="15.75" thickBot="1">
      <c r="D84" s="377"/>
      <c r="E84" s="378"/>
      <c r="F84" s="378"/>
      <c r="G84" s="378"/>
      <c r="H84" s="379"/>
      <c r="I84" s="379"/>
      <c r="J84" s="379"/>
      <c r="K84" s="379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3450694</v>
      </c>
      <c r="V84" s="396">
        <v>3450695</v>
      </c>
      <c r="W84" s="395">
        <v>3450696</v>
      </c>
      <c r="X84" s="396">
        <v>3450698</v>
      </c>
      <c r="Y84" s="395">
        <v>3458676</v>
      </c>
      <c r="Z84" s="396">
        <v>3467962</v>
      </c>
      <c r="AA84" s="395">
        <v>3481346</v>
      </c>
      <c r="AB84" s="396">
        <v>3491835</v>
      </c>
      <c r="AC84" s="395">
        <v>3510172</v>
      </c>
      <c r="AD84" s="396">
        <v>3513796</v>
      </c>
      <c r="AE84" s="395"/>
      <c r="AF84" s="395"/>
      <c r="AG84" s="379"/>
      <c r="AR84" s="207"/>
      <c r="AW84" s="207">
        <v>1262328285</v>
      </c>
    </row>
    <row r="85" spans="1:50" ht="15.75" thickBot="1">
      <c r="A85" s="761" t="s">
        <v>94</v>
      </c>
      <c r="B85" s="762"/>
      <c r="C85" s="763"/>
      <c r="D85" s="133">
        <f>+D83+D30</f>
        <v>13486278139</v>
      </c>
      <c r="E85" s="127"/>
      <c r="F85" s="128"/>
      <c r="G85" s="128"/>
      <c r="H85" s="242">
        <f>+H30</f>
        <v>11884527047.668839</v>
      </c>
      <c r="I85" s="215">
        <f t="shared" ref="I85:AH85" si="17">+I83+I30</f>
        <v>893117688</v>
      </c>
      <c r="J85" s="215">
        <f t="shared" si="17"/>
        <v>893154193</v>
      </c>
      <c r="K85" s="215">
        <f t="shared" si="17"/>
        <v>1419642503.9288399</v>
      </c>
      <c r="L85" s="215">
        <f t="shared" si="17"/>
        <v>1762528873</v>
      </c>
      <c r="M85" s="215">
        <f t="shared" si="17"/>
        <v>1206574939.4000001</v>
      </c>
      <c r="N85" s="215">
        <f t="shared" si="17"/>
        <v>1227560139</v>
      </c>
      <c r="O85" s="215">
        <f t="shared" si="17"/>
        <v>923852758</v>
      </c>
      <c r="P85" s="215">
        <f t="shared" si="17"/>
        <v>1241928124</v>
      </c>
      <c r="Q85" s="215">
        <f t="shared" si="17"/>
        <v>1234893845</v>
      </c>
      <c r="R85" s="215">
        <f t="shared" si="17"/>
        <v>1491777831.9000001</v>
      </c>
      <c r="S85" s="215">
        <f t="shared" si="17"/>
        <v>1019063033.2</v>
      </c>
      <c r="T85" s="257">
        <f t="shared" si="17"/>
        <v>1264673291.2399998</v>
      </c>
      <c r="U85" s="242">
        <f t="shared" si="17"/>
        <v>893117688</v>
      </c>
      <c r="V85" s="215">
        <f t="shared" si="17"/>
        <v>893154193</v>
      </c>
      <c r="W85" s="285">
        <f t="shared" si="17"/>
        <v>1419642504.0999999</v>
      </c>
      <c r="X85" s="242">
        <f t="shared" si="17"/>
        <v>1762528873</v>
      </c>
      <c r="Y85" s="215">
        <f t="shared" si="17"/>
        <v>1206574939.4000001</v>
      </c>
      <c r="Z85" s="285">
        <f t="shared" si="17"/>
        <v>1159267042</v>
      </c>
      <c r="AA85" s="242">
        <f t="shared" si="17"/>
        <v>900778216</v>
      </c>
      <c r="AB85" s="215">
        <f t="shared" si="17"/>
        <v>1252035356.2</v>
      </c>
      <c r="AC85" s="285">
        <f>+AC83+AC30</f>
        <v>1281451542</v>
      </c>
      <c r="AD85" s="242">
        <f t="shared" si="17"/>
        <v>1434370511.9000001</v>
      </c>
      <c r="AE85" s="215">
        <f t="shared" si="17"/>
        <v>1012408304.6</v>
      </c>
      <c r="AF85" s="285">
        <f t="shared" si="17"/>
        <v>1245063673.52</v>
      </c>
      <c r="AG85" s="282">
        <f t="shared" si="17"/>
        <v>14460392843.719999</v>
      </c>
      <c r="AH85" s="132">
        <f t="shared" si="17"/>
        <v>118374375.94883919</v>
      </c>
      <c r="AM85" s="473"/>
      <c r="AP85" s="473"/>
      <c r="AR85" s="473"/>
      <c r="AW85" s="207">
        <f>+AW83-AW84</f>
        <v>438778005</v>
      </c>
    </row>
    <row r="86" spans="1:50">
      <c r="F86" s="299"/>
      <c r="G86" s="503"/>
      <c r="AW86" s="473"/>
    </row>
    <row r="87" spans="1:50" ht="15" thickBot="1">
      <c r="D87" s="1"/>
      <c r="E87" s="1"/>
      <c r="F87" s="1"/>
      <c r="G87" s="473"/>
      <c r="AC87" s="207">
        <v>1216870451</v>
      </c>
      <c r="AW87" s="473"/>
    </row>
    <row r="88" spans="1:50" ht="15.75" thickBot="1">
      <c r="A88" s="273"/>
      <c r="B88" s="758" t="s">
        <v>118</v>
      </c>
      <c r="C88" s="759"/>
      <c r="D88" s="760"/>
      <c r="G88" s="503"/>
      <c r="AC88" s="207">
        <f>+AC85-AC87</f>
        <v>64581091</v>
      </c>
      <c r="AW88" s="473"/>
    </row>
    <row r="89" spans="1:50">
      <c r="A89" s="274" t="s">
        <v>119</v>
      </c>
      <c r="B89" s="708" t="s">
        <v>123</v>
      </c>
      <c r="C89" s="709"/>
      <c r="D89" s="275">
        <f>+U85+V85+W85</f>
        <v>3205914385.0999999</v>
      </c>
    </row>
    <row r="90" spans="1:50">
      <c r="A90" s="276" t="s">
        <v>120</v>
      </c>
      <c r="B90" s="706" t="s">
        <v>124</v>
      </c>
      <c r="C90" s="707"/>
      <c r="D90" s="277">
        <f>+X85+Y85+Z85</f>
        <v>4128370854.4000001</v>
      </c>
    </row>
    <row r="91" spans="1:50">
      <c r="A91" s="276" t="s">
        <v>121</v>
      </c>
      <c r="B91" s="706" t="s">
        <v>125</v>
      </c>
      <c r="C91" s="707"/>
      <c r="D91" s="277">
        <f>+AA85+AB85+AC85</f>
        <v>3434265114.1999998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3691842490.02</v>
      </c>
    </row>
    <row r="93" spans="1:50" ht="15.75" customHeight="1" thickBot="1">
      <c r="A93" s="756" t="s">
        <v>117</v>
      </c>
      <c r="B93" s="757"/>
      <c r="C93" s="757"/>
      <c r="D93" s="280">
        <f>SUM(D89:D92)</f>
        <v>14460392843.720001</v>
      </c>
    </row>
    <row r="97" spans="2:5" ht="15">
      <c r="B97" s="509" t="s">
        <v>234</v>
      </c>
      <c r="E97" s="1"/>
    </row>
    <row r="98" spans="2:5">
      <c r="B98" s="700" t="s">
        <v>248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1" spans="2:5">
      <c r="B101" s="510"/>
      <c r="C101" s="510"/>
      <c r="D101" s="510"/>
      <c r="E101" s="510"/>
    </row>
    <row r="102" spans="2:5" ht="15">
      <c r="C102" s="508" t="s">
        <v>74</v>
      </c>
      <c r="D102" s="6">
        <v>41734795</v>
      </c>
    </row>
    <row r="103" spans="2:5" ht="15">
      <c r="C103" s="508" t="s">
        <v>89</v>
      </c>
      <c r="D103" s="6">
        <v>46149084</v>
      </c>
    </row>
    <row r="104" spans="2:5" ht="15">
      <c r="C104" s="508" t="s">
        <v>236</v>
      </c>
      <c r="D104" s="511">
        <v>18432007</v>
      </c>
    </row>
    <row r="105" spans="2:5">
      <c r="D105" s="6">
        <f>SUM(D102:D104)</f>
        <v>106315886</v>
      </c>
      <c r="E105" s="298"/>
    </row>
    <row r="106" spans="2:5">
      <c r="E106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BB104"/>
  <sheetViews>
    <sheetView topLeftCell="A47" zoomScale="70" zoomScaleNormal="70" workbookViewId="0">
      <selection activeCell="AK7" sqref="AK1:AT1048576"/>
    </sheetView>
  </sheetViews>
  <sheetFormatPr baseColWidth="10" defaultRowHeight="14.25"/>
  <cols>
    <col min="1" max="1" width="4.85546875" style="1" customWidth="1"/>
    <col min="2" max="2" width="38.28515625" style="1" bestFit="1" customWidth="1"/>
    <col min="3" max="3" width="29.7109375" style="1" customWidth="1"/>
    <col min="4" max="4" width="18.42578125" style="6" customWidth="1"/>
    <col min="5" max="5" width="15.28515625" style="4" customWidth="1"/>
    <col min="6" max="6" width="14.28515625" style="4" customWidth="1"/>
    <col min="7" max="7" width="15.5703125" style="4" customWidth="1"/>
    <col min="8" max="8" width="17" style="207" customWidth="1"/>
    <col min="9" max="9" width="15.5703125" style="207" hidden="1" customWidth="1"/>
    <col min="10" max="10" width="18.28515625" style="207" hidden="1" customWidth="1"/>
    <col min="11" max="11" width="14.140625" style="207" hidden="1" customWidth="1"/>
    <col min="12" max="12" width="16.5703125" style="207" hidden="1" customWidth="1"/>
    <col min="13" max="13" width="15.7109375" style="207" hidden="1" customWidth="1"/>
    <col min="14" max="14" width="17.28515625" style="207" hidden="1" customWidth="1"/>
    <col min="15" max="16" width="16.28515625" style="207" hidden="1" customWidth="1"/>
    <col min="17" max="17" width="13.7109375" style="207" hidden="1" customWidth="1"/>
    <col min="18" max="18" width="17.140625" style="207" hidden="1" customWidth="1"/>
    <col min="19" max="19" width="19.140625" style="207" customWidth="1"/>
    <col min="20" max="20" width="18.28515625" style="207" customWidth="1"/>
    <col min="21" max="21" width="16.28515625" style="207" hidden="1" customWidth="1"/>
    <col min="22" max="22" width="16.140625" style="207" hidden="1" customWidth="1"/>
    <col min="23" max="24" width="17.28515625" style="207" hidden="1" customWidth="1"/>
    <col min="25" max="25" width="16.85546875" style="207" hidden="1" customWidth="1"/>
    <col min="26" max="26" width="17.28515625" style="207" hidden="1" customWidth="1"/>
    <col min="27" max="27" width="16.28515625" style="207" hidden="1" customWidth="1"/>
    <col min="28" max="28" width="17.28515625" style="207" hidden="1" customWidth="1"/>
    <col min="29" max="29" width="20.85546875" style="207" hidden="1" customWidth="1"/>
    <col min="30" max="30" width="17.28515625" style="207" hidden="1" customWidth="1"/>
    <col min="31" max="31" width="19.140625" style="207" customWidth="1"/>
    <col min="32" max="32" width="18.28515625" style="207" customWidth="1"/>
    <col min="33" max="33" width="17" style="207" customWidth="1"/>
    <col min="34" max="34" width="16.42578125" style="1" customWidth="1"/>
    <col min="35" max="35" width="14" style="1" customWidth="1"/>
    <col min="36" max="36" width="11.42578125" style="1" customWidth="1"/>
    <col min="37" max="38" width="11.42578125" style="1" hidden="1" customWidth="1"/>
    <col min="39" max="39" width="13.85546875" style="1" hidden="1" customWidth="1"/>
    <col min="40" max="44" width="11.42578125" style="1" hidden="1" customWidth="1"/>
    <col min="45" max="45" width="12.7109375" style="1" hidden="1" customWidth="1"/>
    <col min="46" max="46" width="14.28515625" style="1" hidden="1" customWidth="1"/>
    <col min="47" max="47" width="16.71093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4.85546875" style="1" bestFit="1" customWidth="1"/>
    <col min="52" max="52" width="16.7109375" style="1" bestFit="1" customWidth="1"/>
    <col min="53" max="53" width="11.42578125" style="1"/>
    <col min="54" max="54" width="15.28515625" style="1" bestFit="1" customWidth="1"/>
    <col min="55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62</v>
      </c>
    </row>
    <row r="11" spans="1:34">
      <c r="B11" s="3" t="s">
        <v>63</v>
      </c>
    </row>
    <row r="12" spans="1:34">
      <c r="B12" s="3" t="s">
        <v>70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74" t="s">
        <v>38</v>
      </c>
      <c r="I14" s="775"/>
      <c r="J14" s="775"/>
      <c r="K14" s="775"/>
      <c r="L14" s="775"/>
      <c r="M14" s="775"/>
      <c r="N14" s="785"/>
      <c r="O14" s="777"/>
      <c r="P14" s="777"/>
      <c r="Q14" s="777"/>
      <c r="R14" s="777"/>
      <c r="S14" s="777"/>
      <c r="T14" s="778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88028346*12</f>
        <v>1056340152</v>
      </c>
      <c r="E16" s="22"/>
      <c r="F16" s="23"/>
      <c r="G16" s="24"/>
      <c r="H16" s="322">
        <f>SUM(I16:T16)</f>
        <v>1056340152</v>
      </c>
      <c r="I16" s="250">
        <v>88028346</v>
      </c>
      <c r="J16" s="217">
        <v>88028346</v>
      </c>
      <c r="K16" s="217">
        <v>88028346</v>
      </c>
      <c r="L16" s="65">
        <v>88028346</v>
      </c>
      <c r="M16" s="212">
        <v>88028346</v>
      </c>
      <c r="N16" s="65">
        <v>88028346</v>
      </c>
      <c r="O16" s="212">
        <v>88028346</v>
      </c>
      <c r="P16" s="212">
        <v>88028346</v>
      </c>
      <c r="Q16" s="212">
        <v>88028346</v>
      </c>
      <c r="R16" s="212">
        <v>88028346</v>
      </c>
      <c r="S16" s="212">
        <v>88028346</v>
      </c>
      <c r="T16" s="248">
        <v>88028346</v>
      </c>
      <c r="U16" s="234">
        <v>88028346</v>
      </c>
      <c r="V16" s="217">
        <v>88028346</v>
      </c>
      <c r="W16" s="65">
        <v>88028346</v>
      </c>
      <c r="X16" s="65">
        <v>88028346</v>
      </c>
      <c r="Y16" s="209">
        <v>88028346</v>
      </c>
      <c r="Z16" s="65">
        <v>88028346</v>
      </c>
      <c r="AA16" s="209">
        <v>88028346</v>
      </c>
      <c r="AB16" s="209">
        <v>88028346</v>
      </c>
      <c r="AC16" s="209">
        <v>88028346</v>
      </c>
      <c r="AD16" s="209">
        <v>88028346</v>
      </c>
      <c r="AE16" s="209">
        <v>88028346</v>
      </c>
      <c r="AF16" s="225">
        <v>88028346</v>
      </c>
      <c r="AG16" s="226">
        <f t="shared" ref="AG16:AG23" si="0">SUM(U16:AF16)</f>
        <v>1056340152</v>
      </c>
      <c r="AH16" s="123">
        <f t="shared" ref="AH16:AH30" si="1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>
        <f>2338421*12</f>
        <v>28061052</v>
      </c>
      <c r="E17" s="15"/>
      <c r="F17" s="14"/>
      <c r="G17" s="16"/>
      <c r="H17" s="324">
        <f>SUM(I17:T17)</f>
        <v>28061052</v>
      </c>
      <c r="I17" s="252">
        <v>2338421</v>
      </c>
      <c r="J17" s="217">
        <v>2338421</v>
      </c>
      <c r="K17" s="217">
        <v>2338421</v>
      </c>
      <c r="L17" s="65">
        <v>2338421</v>
      </c>
      <c r="M17" s="206">
        <v>2338421</v>
      </c>
      <c r="N17" s="65">
        <v>2338421</v>
      </c>
      <c r="O17" s="206">
        <v>2338421</v>
      </c>
      <c r="P17" s="206">
        <v>2338421</v>
      </c>
      <c r="Q17" s="206">
        <v>2338421</v>
      </c>
      <c r="R17" s="206">
        <v>2338421</v>
      </c>
      <c r="S17" s="206">
        <v>2338421</v>
      </c>
      <c r="T17" s="227">
        <v>2338421</v>
      </c>
      <c r="U17" s="235">
        <v>2338421</v>
      </c>
      <c r="V17" s="217">
        <v>2338421</v>
      </c>
      <c r="W17" s="65">
        <v>2338421</v>
      </c>
      <c r="X17" s="65">
        <v>2338421</v>
      </c>
      <c r="Y17" s="206">
        <v>2338421</v>
      </c>
      <c r="Z17" s="65">
        <v>2338421</v>
      </c>
      <c r="AA17" s="206">
        <v>2338421</v>
      </c>
      <c r="AB17" s="206">
        <v>2338421</v>
      </c>
      <c r="AC17" s="206">
        <v>2338421</v>
      </c>
      <c r="AD17" s="206">
        <v>2338421</v>
      </c>
      <c r="AE17" s="206">
        <v>2338421</v>
      </c>
      <c r="AF17" s="227">
        <v>2338421</v>
      </c>
      <c r="AG17" s="228">
        <f t="shared" si="0"/>
        <v>28061052</v>
      </c>
      <c r="AH17" s="124">
        <f t="shared" si="1"/>
        <v>0</v>
      </c>
    </row>
    <row r="18" spans="1:48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4">
        <f t="shared" ref="H18:H29" si="2">SUM(I18:T18)</f>
        <v>0</v>
      </c>
      <c r="I18" s="252"/>
      <c r="J18" s="217">
        <v>0</v>
      </c>
      <c r="K18" s="206"/>
      <c r="L18" s="206"/>
      <c r="M18" s="206"/>
      <c r="N18" s="206"/>
      <c r="O18" s="206"/>
      <c r="P18" s="206"/>
      <c r="Q18" s="206"/>
      <c r="R18" s="206"/>
      <c r="S18" s="206"/>
      <c r="T18" s="227"/>
      <c r="U18" s="235"/>
      <c r="V18" s="217">
        <v>0</v>
      </c>
      <c r="W18" s="206"/>
      <c r="X18" s="206"/>
      <c r="Y18" s="206"/>
      <c r="Z18" s="206"/>
      <c r="AA18" s="206"/>
      <c r="AB18" s="206"/>
      <c r="AC18" s="206"/>
      <c r="AD18" s="206"/>
      <c r="AE18" s="206"/>
      <c r="AF18" s="227"/>
      <c r="AG18" s="228">
        <f t="shared" si="0"/>
        <v>0</v>
      </c>
      <c r="AH18" s="124">
        <f t="shared" si="1"/>
        <v>0</v>
      </c>
    </row>
    <row r="19" spans="1:48" ht="15" hidden="1">
      <c r="A19" s="11">
        <v>4</v>
      </c>
      <c r="B19" s="7" t="s">
        <v>30</v>
      </c>
      <c r="C19" s="147" t="s">
        <v>29</v>
      </c>
      <c r="D19" s="13"/>
      <c r="E19" s="15"/>
      <c r="F19" s="14"/>
      <c r="G19" s="16"/>
      <c r="H19" s="324">
        <f t="shared" si="2"/>
        <v>0</v>
      </c>
      <c r="I19" s="252"/>
      <c r="J19" s="217">
        <v>0</v>
      </c>
      <c r="K19" s="206"/>
      <c r="L19" s="206"/>
      <c r="M19" s="206"/>
      <c r="N19" s="206"/>
      <c r="O19" s="206"/>
      <c r="P19" s="206"/>
      <c r="Q19" s="206"/>
      <c r="R19" s="206"/>
      <c r="S19" s="206"/>
      <c r="T19" s="227"/>
      <c r="U19" s="235"/>
      <c r="V19" s="217">
        <v>0</v>
      </c>
      <c r="W19" s="206"/>
      <c r="X19" s="206"/>
      <c r="Y19" s="206"/>
      <c r="Z19" s="206"/>
      <c r="AA19" s="206"/>
      <c r="AB19" s="206"/>
      <c r="AC19" s="206"/>
      <c r="AD19" s="206"/>
      <c r="AE19" s="206"/>
      <c r="AF19" s="227"/>
      <c r="AG19" s="228">
        <f t="shared" si="0"/>
        <v>0</v>
      </c>
      <c r="AH19" s="124">
        <f t="shared" si="1"/>
        <v>0</v>
      </c>
    </row>
    <row r="20" spans="1:48" ht="29.25" hidden="1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0"/>
        <v>0</v>
      </c>
      <c r="AH20" s="124">
        <f t="shared" si="1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257520*12</f>
        <v>3090240</v>
      </c>
      <c r="E21" s="15"/>
      <c r="F21" s="14"/>
      <c r="G21" s="16"/>
      <c r="H21" s="324">
        <f t="shared" si="2"/>
        <v>4033333.1100000003</v>
      </c>
      <c r="I21" s="252">
        <v>257520</v>
      </c>
      <c r="J21" s="217">
        <v>271943</v>
      </c>
      <c r="K21" s="217">
        <v>497108.11000000004</v>
      </c>
      <c r="L21" s="65">
        <v>342190</v>
      </c>
      <c r="M21" s="206">
        <v>342190</v>
      </c>
      <c r="N21" s="65">
        <v>342190</v>
      </c>
      <c r="O21" s="206">
        <v>342190</v>
      </c>
      <c r="P21" s="206">
        <v>342190</v>
      </c>
      <c r="Q21" s="206">
        <v>342190</v>
      </c>
      <c r="R21" s="206">
        <v>342190</v>
      </c>
      <c r="S21" s="206">
        <v>342190</v>
      </c>
      <c r="T21" s="227">
        <v>269242</v>
      </c>
      <c r="U21" s="235">
        <v>257520</v>
      </c>
      <c r="V21" s="217">
        <v>271943</v>
      </c>
      <c r="W21" s="206">
        <v>497108</v>
      </c>
      <c r="X21" s="65">
        <v>342190</v>
      </c>
      <c r="Y21" s="206">
        <v>342190</v>
      </c>
      <c r="Z21" s="65">
        <v>342190</v>
      </c>
      <c r="AA21" s="206">
        <v>342190</v>
      </c>
      <c r="AB21" s="206">
        <v>342190</v>
      </c>
      <c r="AC21" s="206">
        <v>342190</v>
      </c>
      <c r="AD21" s="206">
        <v>342190</v>
      </c>
      <c r="AE21" s="206">
        <v>342190</v>
      </c>
      <c r="AF21" s="227">
        <v>269242</v>
      </c>
      <c r="AG21" s="228">
        <f t="shared" si="0"/>
        <v>4033333</v>
      </c>
      <c r="AH21" s="124">
        <f t="shared" si="1"/>
        <v>0.11000000033527613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45069965</v>
      </c>
      <c r="I22" s="252"/>
      <c r="J22" s="217"/>
      <c r="K22" s="217"/>
      <c r="L22" s="65">
        <v>11682662</v>
      </c>
      <c r="M22" s="206"/>
      <c r="N22" s="65">
        <v>11129101</v>
      </c>
      <c r="O22" s="206"/>
      <c r="P22" s="206"/>
      <c r="Q22" s="206">
        <v>11129101</v>
      </c>
      <c r="R22" s="206"/>
      <c r="S22" s="206"/>
      <c r="T22" s="227">
        <v>11129101</v>
      </c>
      <c r="U22" s="235"/>
      <c r="V22" s="217"/>
      <c r="W22" s="206"/>
      <c r="X22" s="65">
        <v>11682662</v>
      </c>
      <c r="Y22" s="206"/>
      <c r="Z22" s="65">
        <v>11129101</v>
      </c>
      <c r="AA22" s="206"/>
      <c r="AB22" s="206"/>
      <c r="AC22" s="206">
        <v>11129101</v>
      </c>
      <c r="AD22" s="206"/>
      <c r="AE22" s="206"/>
      <c r="AF22" s="227">
        <v>11129101</v>
      </c>
      <c r="AG22" s="228">
        <f t="shared" si="0"/>
        <v>45069965</v>
      </c>
      <c r="AH22" s="124">
        <f t="shared" si="1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32784279</v>
      </c>
      <c r="I23" s="252"/>
      <c r="J23" s="217"/>
      <c r="K23" s="217"/>
      <c r="L23" s="65">
        <v>13497438</v>
      </c>
      <c r="M23" s="206"/>
      <c r="N23" s="65">
        <v>6428947</v>
      </c>
      <c r="O23" s="206"/>
      <c r="P23" s="206"/>
      <c r="Q23" s="206">
        <v>6428947</v>
      </c>
      <c r="R23" s="206"/>
      <c r="S23" s="206"/>
      <c r="T23" s="227">
        <v>6428947</v>
      </c>
      <c r="U23" s="235"/>
      <c r="V23" s="217"/>
      <c r="W23" s="206"/>
      <c r="X23" s="65">
        <v>13497438</v>
      </c>
      <c r="Y23" s="206"/>
      <c r="Z23" s="65">
        <v>6428947</v>
      </c>
      <c r="AA23" s="206"/>
      <c r="AB23" s="206"/>
      <c r="AC23" s="206">
        <v>6428947</v>
      </c>
      <c r="AD23" s="206"/>
      <c r="AE23" s="206"/>
      <c r="AF23" s="227">
        <v>6428947</v>
      </c>
      <c r="AG23" s="228">
        <f t="shared" si="0"/>
        <v>32784279</v>
      </c>
      <c r="AH23" s="124">
        <f t="shared" si="1"/>
        <v>0</v>
      </c>
    </row>
    <row r="24" spans="1:48" ht="15" hidden="1">
      <c r="A24" s="11">
        <v>7</v>
      </c>
      <c r="B24" s="7" t="s">
        <v>33</v>
      </c>
      <c r="C24" s="147" t="s">
        <v>29</v>
      </c>
      <c r="D24" s="13"/>
      <c r="E24" s="15"/>
      <c r="F24" s="14"/>
      <c r="G24" s="16"/>
      <c r="H24" s="324">
        <f t="shared" si="2"/>
        <v>0</v>
      </c>
      <c r="I24" s="252"/>
      <c r="J24" s="217">
        <v>0</v>
      </c>
      <c r="K24" s="206"/>
      <c r="L24" s="206"/>
      <c r="M24" s="206"/>
      <c r="N24" s="206"/>
      <c r="O24" s="206"/>
      <c r="P24" s="206"/>
      <c r="Q24" s="206"/>
      <c r="R24" s="206"/>
      <c r="S24" s="206"/>
      <c r="T24" s="227"/>
      <c r="U24" s="235"/>
      <c r="V24" s="217">
        <v>0</v>
      </c>
      <c r="W24" s="206"/>
      <c r="X24" s="206"/>
      <c r="Y24" s="206"/>
      <c r="Z24" s="206"/>
      <c r="AA24" s="206"/>
      <c r="AB24" s="206"/>
      <c r="AC24" s="206"/>
      <c r="AD24" s="206"/>
      <c r="AE24" s="206"/>
      <c r="AF24" s="227"/>
      <c r="AG24" s="228">
        <f t="shared" ref="AG24:AG29" si="3">SUM(U24:AF24)</f>
        <v>0</v>
      </c>
      <c r="AH24" s="124">
        <f t="shared" ref="AH24:AH29" si="4">+H24-AG24</f>
        <v>0</v>
      </c>
    </row>
    <row r="25" spans="1:48" ht="15" hidden="1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24">
        <f t="shared" si="2"/>
        <v>0</v>
      </c>
      <c r="I25" s="252"/>
      <c r="J25" s="217">
        <v>0</v>
      </c>
      <c r="K25" s="206"/>
      <c r="L25" s="206"/>
      <c r="M25" s="206"/>
      <c r="N25" s="206"/>
      <c r="O25" s="206"/>
      <c r="P25" s="206"/>
      <c r="Q25" s="206"/>
      <c r="R25" s="206"/>
      <c r="S25" s="206"/>
      <c r="T25" s="227"/>
      <c r="U25" s="2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si="3"/>
        <v>0</v>
      </c>
      <c r="AH25" s="124">
        <f t="shared" si="4"/>
        <v>0</v>
      </c>
    </row>
    <row r="26" spans="1:48" ht="15" hidden="1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4">
        <f t="shared" si="2"/>
        <v>0</v>
      </c>
      <c r="I26" s="252"/>
      <c r="J26" s="217"/>
      <c r="K26" s="206"/>
      <c r="L26" s="206"/>
      <c r="M26" s="206"/>
      <c r="N26" s="206"/>
      <c r="O26" s="206"/>
      <c r="P26" s="206"/>
      <c r="Q26" s="206"/>
      <c r="R26" s="206"/>
      <c r="S26" s="206"/>
      <c r="T26" s="227"/>
      <c r="U26" s="2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3"/>
        <v>0</v>
      </c>
      <c r="AH26" s="124">
        <f t="shared" si="4"/>
        <v>0</v>
      </c>
    </row>
    <row r="27" spans="1:48" ht="15" hidden="1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0</v>
      </c>
      <c r="I27" s="252"/>
      <c r="J27" s="217"/>
      <c r="K27" s="206"/>
      <c r="L27" s="206"/>
      <c r="M27" s="206"/>
      <c r="N27" s="206"/>
      <c r="O27" s="206"/>
      <c r="P27" s="206"/>
      <c r="Q27" s="206"/>
      <c r="R27" s="206"/>
      <c r="S27" s="206"/>
      <c r="T27" s="227"/>
      <c r="U27" s="235"/>
      <c r="V27" s="217"/>
      <c r="W27" s="206"/>
      <c r="X27" s="206"/>
      <c r="Y27" s="206"/>
      <c r="Z27" s="206"/>
      <c r="AA27" s="206"/>
      <c r="AB27" s="206"/>
      <c r="AC27" s="206"/>
      <c r="AD27" s="206"/>
      <c r="AE27" s="206"/>
      <c r="AF27" s="227"/>
      <c r="AG27" s="228">
        <f t="shared" si="3"/>
        <v>0</v>
      </c>
      <c r="AH27" s="124">
        <f t="shared" si="4"/>
        <v>0</v>
      </c>
    </row>
    <row r="28" spans="1:48" ht="15.75" hidden="1" thickBot="1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0</v>
      </c>
      <c r="I28" s="252"/>
      <c r="J28" s="217"/>
      <c r="K28" s="206"/>
      <c r="L28" s="206"/>
      <c r="M28" s="206"/>
      <c r="N28" s="206"/>
      <c r="O28" s="206"/>
      <c r="P28" s="206"/>
      <c r="Q28" s="206"/>
      <c r="R28" s="206"/>
      <c r="S28" s="206"/>
      <c r="T28" s="227"/>
      <c r="U28" s="235"/>
      <c r="V28" s="217"/>
      <c r="W28" s="206"/>
      <c r="X28" s="206"/>
      <c r="Y28" s="206"/>
      <c r="Z28" s="206"/>
      <c r="AA28" s="206"/>
      <c r="AB28" s="206"/>
      <c r="AC28" s="206"/>
      <c r="AD28" s="206"/>
      <c r="AE28" s="206"/>
      <c r="AF28" s="227"/>
      <c r="AG28" s="228">
        <f t="shared" si="3"/>
        <v>0</v>
      </c>
      <c r="AH28" s="124">
        <f t="shared" si="4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24">
        <f t="shared" si="2"/>
        <v>17318519.457678385</v>
      </c>
      <c r="I29" s="252"/>
      <c r="J29" s="217"/>
      <c r="K29" s="206"/>
      <c r="L29" s="206"/>
      <c r="M29" s="206"/>
      <c r="N29" s="206"/>
      <c r="O29" s="206"/>
      <c r="P29" s="206"/>
      <c r="Q29" s="206"/>
      <c r="R29" s="206"/>
      <c r="S29" s="206">
        <v>17318519.457678385</v>
      </c>
      <c r="T29" s="227"/>
      <c r="U29" s="235"/>
      <c r="V29" s="217"/>
      <c r="W29" s="206"/>
      <c r="X29" s="206"/>
      <c r="Y29" s="206"/>
      <c r="Z29" s="206"/>
      <c r="AA29" s="206"/>
      <c r="AB29" s="206"/>
      <c r="AC29" s="206"/>
      <c r="AD29" s="206"/>
      <c r="AE29" s="206">
        <v>17318519.457678385</v>
      </c>
      <c r="AF29" s="227"/>
      <c r="AG29" s="228">
        <f t="shared" si="3"/>
        <v>17318519.457678385</v>
      </c>
      <c r="AH29" s="124">
        <f t="shared" si="4"/>
        <v>0</v>
      </c>
    </row>
    <row r="30" spans="1:48" ht="15.75" thickBot="1">
      <c r="A30" s="794" t="s">
        <v>36</v>
      </c>
      <c r="B30" s="795"/>
      <c r="C30" s="94"/>
      <c r="D30" s="95">
        <f>SUM(D16:D26)</f>
        <v>1087491444</v>
      </c>
      <c r="E30" s="96"/>
      <c r="F30" s="97"/>
      <c r="G30" s="98"/>
      <c r="H30" s="323">
        <f>SUM(H16:H28)</f>
        <v>1166288781.1099999</v>
      </c>
      <c r="I30" s="313">
        <f>SUM(I16:I28)</f>
        <v>90624287</v>
      </c>
      <c r="J30" s="313">
        <f t="shared" ref="J30:O30" si="5">SUM(J16:J28)</f>
        <v>90638710</v>
      </c>
      <c r="K30" s="313">
        <f t="shared" si="5"/>
        <v>90863875.109999999</v>
      </c>
      <c r="L30" s="313">
        <f t="shared" si="5"/>
        <v>115889057</v>
      </c>
      <c r="M30" s="313">
        <f t="shared" si="5"/>
        <v>90708957</v>
      </c>
      <c r="N30" s="313">
        <f t="shared" si="5"/>
        <v>108267005</v>
      </c>
      <c r="O30" s="313">
        <f t="shared" si="5"/>
        <v>90708957</v>
      </c>
      <c r="P30" s="313">
        <f t="shared" ref="P30:AF30" si="6">SUM(P16:P28)</f>
        <v>90708957</v>
      </c>
      <c r="Q30" s="313">
        <f t="shared" si="6"/>
        <v>108267005</v>
      </c>
      <c r="R30" s="313">
        <f t="shared" si="6"/>
        <v>90708957</v>
      </c>
      <c r="S30" s="313">
        <f t="shared" si="6"/>
        <v>90708957</v>
      </c>
      <c r="T30" s="313">
        <f t="shared" si="6"/>
        <v>108194057</v>
      </c>
      <c r="U30" s="245">
        <f t="shared" si="6"/>
        <v>90624287</v>
      </c>
      <c r="V30" s="245">
        <f t="shared" si="6"/>
        <v>90638710</v>
      </c>
      <c r="W30" s="245">
        <f t="shared" si="6"/>
        <v>90863875</v>
      </c>
      <c r="X30" s="245">
        <f t="shared" si="6"/>
        <v>115889057</v>
      </c>
      <c r="Y30" s="245">
        <f t="shared" si="6"/>
        <v>90708957</v>
      </c>
      <c r="Z30" s="245">
        <f t="shared" si="6"/>
        <v>108267005</v>
      </c>
      <c r="AA30" s="245">
        <f t="shared" si="6"/>
        <v>90708957</v>
      </c>
      <c r="AB30" s="245">
        <f t="shared" si="6"/>
        <v>90708957</v>
      </c>
      <c r="AC30" s="245">
        <f t="shared" si="6"/>
        <v>108267005</v>
      </c>
      <c r="AD30" s="245">
        <f t="shared" si="6"/>
        <v>90708957</v>
      </c>
      <c r="AE30" s="245">
        <f t="shared" si="6"/>
        <v>90708957</v>
      </c>
      <c r="AF30" s="245">
        <f t="shared" si="6"/>
        <v>108194057</v>
      </c>
      <c r="AG30" s="337">
        <f>SUM(U30:AF30)</f>
        <v>1166288781</v>
      </c>
      <c r="AH30" s="120">
        <f t="shared" si="1"/>
        <v>0.1099998950958252</v>
      </c>
    </row>
    <row r="31" spans="1:48" ht="15" thickBot="1">
      <c r="C31" s="265">
        <v>5301018</v>
      </c>
      <c r="D31" s="149">
        <v>1</v>
      </c>
      <c r="E31" s="5">
        <v>0.7</v>
      </c>
      <c r="F31" s="5">
        <v>0.3</v>
      </c>
      <c r="G31" s="5"/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74" t="s">
        <v>38</v>
      </c>
      <c r="I32" s="775"/>
      <c r="J32" s="775"/>
      <c r="K32" s="775"/>
      <c r="L32" s="775"/>
      <c r="M32" s="775"/>
      <c r="N32" s="776"/>
      <c r="O32" s="777"/>
      <c r="P32" s="777"/>
      <c r="Q32" s="777"/>
      <c r="R32" s="777"/>
      <c r="S32" s="777"/>
      <c r="T32" s="778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0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7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0" ht="15.75" thickBot="1">
      <c r="A34" s="573">
        <v>1</v>
      </c>
      <c r="B34" s="608" t="s">
        <v>99</v>
      </c>
      <c r="C34" s="615">
        <v>1393</v>
      </c>
      <c r="D34" s="610">
        <v>101409</v>
      </c>
      <c r="E34" s="611">
        <f>+D34*$E$31</f>
        <v>70986.299999999988</v>
      </c>
      <c r="F34" s="612">
        <f>+D34*F31</f>
        <v>30422.699999999997</v>
      </c>
      <c r="G34" s="613"/>
      <c r="H34" s="334">
        <f>SUM(I34:T34)</f>
        <v>101408.99999999999</v>
      </c>
      <c r="I34" s="331"/>
      <c r="J34" s="249"/>
      <c r="K34" s="250">
        <v>70986.299999999988</v>
      </c>
      <c r="L34" s="212"/>
      <c r="M34" s="212"/>
      <c r="N34" s="212"/>
      <c r="O34" s="212"/>
      <c r="P34" s="212"/>
      <c r="Q34" s="212"/>
      <c r="R34" s="212">
        <v>30422.699999999997</v>
      </c>
      <c r="S34" s="212"/>
      <c r="T34" s="248"/>
      <c r="U34" s="234"/>
      <c r="V34" s="220"/>
      <c r="W34" s="209">
        <v>70986.299999999988</v>
      </c>
      <c r="X34" s="209"/>
      <c r="Y34" s="209"/>
      <c r="Z34" s="209"/>
      <c r="AA34" s="209"/>
      <c r="AB34" s="209"/>
      <c r="AC34" s="209"/>
      <c r="AD34" s="209">
        <v>30422.699999999997</v>
      </c>
      <c r="AE34" s="209"/>
      <c r="AF34" s="209"/>
      <c r="AG34" s="218">
        <f>SUM(U34:AF34)</f>
        <v>101408.99999999999</v>
      </c>
      <c r="AH34" s="123">
        <f t="shared" ref="AH34:AH81" si="7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101408.99999999999</v>
      </c>
    </row>
    <row r="35" spans="1:50" ht="15">
      <c r="A35" s="573">
        <v>2</v>
      </c>
      <c r="B35" s="608" t="s">
        <v>100</v>
      </c>
      <c r="C35" s="615">
        <v>1393</v>
      </c>
      <c r="D35" s="610">
        <v>4560864</v>
      </c>
      <c r="E35" s="583">
        <f>+D35*$E$31</f>
        <v>3192604.8</v>
      </c>
      <c r="F35" s="584">
        <f>+D35*F31</f>
        <v>1368259.2</v>
      </c>
      <c r="G35" s="614"/>
      <c r="H35" s="324">
        <f>SUM(I35:T35)</f>
        <v>4560864</v>
      </c>
      <c r="I35" s="250"/>
      <c r="J35" s="251"/>
      <c r="K35" s="250">
        <v>3192604.8</v>
      </c>
      <c r="L35" s="212"/>
      <c r="M35" s="212"/>
      <c r="N35" s="212"/>
      <c r="O35" s="212"/>
      <c r="P35" s="212"/>
      <c r="Q35" s="212"/>
      <c r="R35" s="212">
        <v>1368259.2</v>
      </c>
      <c r="S35" s="212"/>
      <c r="T35" s="248"/>
      <c r="U35" s="237"/>
      <c r="V35" s="217"/>
      <c r="W35" s="212">
        <v>3192604.8</v>
      </c>
      <c r="X35" s="212"/>
      <c r="Y35" s="212"/>
      <c r="Z35" s="212"/>
      <c r="AA35" s="212"/>
      <c r="AB35" s="212"/>
      <c r="AC35" s="212"/>
      <c r="AD35" s="212">
        <v>1368259.2</v>
      </c>
      <c r="AE35" s="212"/>
      <c r="AF35" s="212"/>
      <c r="AG35" s="218">
        <f>SUM(U35:AF35)</f>
        <v>4560864</v>
      </c>
      <c r="AH35" s="123">
        <f t="shared" si="7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1">
        <f t="shared" ref="AX35:AX77" si="8">+AG35-AW35</f>
        <v>4560864</v>
      </c>
    </row>
    <row r="36" spans="1:50" ht="15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9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7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1">
        <f t="shared" si="8"/>
        <v>0</v>
      </c>
    </row>
    <row r="37" spans="1:50" ht="15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9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10">SUM(U37:AF37)</f>
        <v>0</v>
      </c>
      <c r="AH37" s="124">
        <f t="shared" si="7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11">SUM(AK37:AV37)</f>
        <v>0</v>
      </c>
      <c r="AX37" s="431">
        <f t="shared" si="8"/>
        <v>0</v>
      </c>
    </row>
    <row r="38" spans="1:50" ht="15">
      <c r="A38" s="573">
        <v>5</v>
      </c>
      <c r="B38" s="575" t="s">
        <v>101</v>
      </c>
      <c r="C38" s="576">
        <v>1599</v>
      </c>
      <c r="D38" s="577">
        <v>15997189</v>
      </c>
      <c r="E38" s="578">
        <f>+D38*E31</f>
        <v>11198032.299999999</v>
      </c>
      <c r="F38" s="579">
        <f>+D38*F31</f>
        <v>4799156.7</v>
      </c>
      <c r="G38" s="580"/>
      <c r="H38" s="324">
        <f t="shared" si="9"/>
        <v>15997189</v>
      </c>
      <c r="I38" s="252"/>
      <c r="J38" s="251"/>
      <c r="K38" s="252">
        <v>9040982.2999999989</v>
      </c>
      <c r="L38" s="206"/>
      <c r="M38" s="206"/>
      <c r="N38" s="206"/>
      <c r="O38" s="212"/>
      <c r="P38" s="212"/>
      <c r="Q38" s="212"/>
      <c r="R38" s="212">
        <v>3874706.6999999997</v>
      </c>
      <c r="S38" s="212">
        <v>3081500.0000000019</v>
      </c>
      <c r="T38" s="248"/>
      <c r="U38" s="235"/>
      <c r="V38" s="217"/>
      <c r="W38" s="206">
        <v>9040982.2999999989</v>
      </c>
      <c r="X38" s="206"/>
      <c r="Y38" s="206"/>
      <c r="Z38" s="206"/>
      <c r="AA38" s="206"/>
      <c r="AB38" s="206"/>
      <c r="AC38" s="206"/>
      <c r="AD38" s="206">
        <v>3874706.6999999997</v>
      </c>
      <c r="AE38" s="206">
        <v>3081500.0000000019</v>
      </c>
      <c r="AF38" s="206"/>
      <c r="AG38" s="219">
        <f t="shared" si="10"/>
        <v>15997189</v>
      </c>
      <c r="AH38" s="124">
        <f t="shared" si="7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 t="shared" si="11"/>
        <v>0</v>
      </c>
      <c r="AX38" s="431">
        <f t="shared" si="8"/>
        <v>15997189</v>
      </c>
    </row>
    <row r="39" spans="1:50" ht="15">
      <c r="A39" s="573">
        <v>6</v>
      </c>
      <c r="B39" s="575" t="s">
        <v>102</v>
      </c>
      <c r="C39" s="576">
        <v>1599</v>
      </c>
      <c r="D39" s="577">
        <v>1287000</v>
      </c>
      <c r="E39" s="578">
        <f>+D39*E31</f>
        <v>900900</v>
      </c>
      <c r="F39" s="579">
        <f>+D39*F31</f>
        <v>386100</v>
      </c>
      <c r="G39" s="580"/>
      <c r="H39" s="324">
        <f t="shared" si="9"/>
        <v>1287000</v>
      </c>
      <c r="I39" s="252"/>
      <c r="J39" s="251"/>
      <c r="K39" s="252">
        <v>900900</v>
      </c>
      <c r="L39" s="206"/>
      <c r="M39" s="206"/>
      <c r="N39" s="206"/>
      <c r="O39" s="212"/>
      <c r="P39" s="212"/>
      <c r="Q39" s="212"/>
      <c r="R39" s="212">
        <v>386100</v>
      </c>
      <c r="S39" s="212"/>
      <c r="T39" s="248"/>
      <c r="U39" s="235"/>
      <c r="V39" s="217"/>
      <c r="W39" s="206">
        <v>900900</v>
      </c>
      <c r="X39" s="206"/>
      <c r="Y39" s="206"/>
      <c r="Z39" s="206"/>
      <c r="AA39" s="206"/>
      <c r="AB39" s="206"/>
      <c r="AC39" s="206"/>
      <c r="AD39" s="206">
        <v>386100</v>
      </c>
      <c r="AE39" s="206"/>
      <c r="AF39" s="206"/>
      <c r="AG39" s="219">
        <f t="shared" si="10"/>
        <v>1287000</v>
      </c>
      <c r="AH39" s="124">
        <f t="shared" si="7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si="11"/>
        <v>0</v>
      </c>
      <c r="AX39" s="431">
        <f t="shared" si="8"/>
        <v>1287000</v>
      </c>
    </row>
    <row r="40" spans="1:50" ht="15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9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10"/>
        <v>0</v>
      </c>
      <c r="AH40" s="124">
        <f t="shared" si="7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11"/>
        <v>0</v>
      </c>
      <c r="AX40" s="431">
        <f t="shared" si="8"/>
        <v>0</v>
      </c>
    </row>
    <row r="41" spans="1:50" ht="15">
      <c r="A41" s="18">
        <v>8</v>
      </c>
      <c r="B41" s="7" t="s">
        <v>76</v>
      </c>
      <c r="C41" s="147"/>
      <c r="D41" s="13"/>
      <c r="E41" s="142"/>
      <c r="F41" s="143"/>
      <c r="G41" s="160"/>
      <c r="H41" s="324">
        <f t="shared" si="9"/>
        <v>0</v>
      </c>
      <c r="I41" s="252"/>
      <c r="J41" s="251"/>
      <c r="K41" s="252"/>
      <c r="L41" s="206"/>
      <c r="M41" s="206"/>
      <c r="N41" s="206"/>
      <c r="O41" s="212"/>
      <c r="P41" s="212"/>
      <c r="Q41" s="212"/>
      <c r="R41" s="212"/>
      <c r="S41" s="212"/>
      <c r="T41" s="248"/>
      <c r="U41" s="235"/>
      <c r="V41" s="217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19">
        <f t="shared" si="10"/>
        <v>0</v>
      </c>
      <c r="AH41" s="124">
        <f t="shared" si="7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11"/>
        <v>0</v>
      </c>
      <c r="AX41" s="431">
        <f t="shared" si="8"/>
        <v>0</v>
      </c>
    </row>
    <row r="42" spans="1:50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9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10"/>
        <v>0</v>
      </c>
      <c r="AH42" s="124">
        <f t="shared" si="7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11"/>
        <v>0</v>
      </c>
      <c r="AX42" s="431">
        <f t="shared" si="8"/>
        <v>0</v>
      </c>
    </row>
    <row r="43" spans="1:50" ht="15">
      <c r="A43" s="573">
        <v>10</v>
      </c>
      <c r="B43" s="575" t="s">
        <v>104</v>
      </c>
      <c r="C43" s="576">
        <v>1905</v>
      </c>
      <c r="D43" s="577">
        <v>30375467</v>
      </c>
      <c r="E43" s="578">
        <f>+D43*E31</f>
        <v>21262826.899999999</v>
      </c>
      <c r="F43" s="579">
        <f>+D43*F31</f>
        <v>9112640.0999999996</v>
      </c>
      <c r="G43" s="580"/>
      <c r="H43" s="324">
        <f t="shared" si="9"/>
        <v>30375467</v>
      </c>
      <c r="I43" s="252"/>
      <c r="J43" s="251"/>
      <c r="K43" s="252">
        <v>21262827</v>
      </c>
      <c r="L43" s="206"/>
      <c r="M43" s="206"/>
      <c r="N43" s="206"/>
      <c r="O43" s="212"/>
      <c r="P43" s="212"/>
      <c r="Q43" s="212"/>
      <c r="R43" s="212">
        <v>9112640</v>
      </c>
      <c r="S43" s="212"/>
      <c r="T43" s="248"/>
      <c r="U43" s="235"/>
      <c r="V43" s="217"/>
      <c r="W43" s="206">
        <v>21262827</v>
      </c>
      <c r="X43" s="206"/>
      <c r="Y43" s="206"/>
      <c r="Z43" s="206"/>
      <c r="AA43" s="206"/>
      <c r="AB43" s="206"/>
      <c r="AC43" s="206"/>
      <c r="AD43" s="206">
        <v>9112640</v>
      </c>
      <c r="AE43" s="206"/>
      <c r="AF43" s="206"/>
      <c r="AG43" s="219">
        <f t="shared" si="10"/>
        <v>30375467</v>
      </c>
      <c r="AH43" s="124">
        <f t="shared" si="7"/>
        <v>0</v>
      </c>
      <c r="AK43" s="235"/>
      <c r="AL43" s="217"/>
      <c r="AM43" s="206"/>
      <c r="AN43" s="206"/>
      <c r="AO43" s="206"/>
      <c r="AP43" s="206"/>
      <c r="AQ43" s="206">
        <v>5273940</v>
      </c>
      <c r="AR43" s="206">
        <v>1757980</v>
      </c>
      <c r="AS43" s="206">
        <v>1757980</v>
      </c>
      <c r="AT43" s="206"/>
      <c r="AU43" s="206"/>
      <c r="AV43" s="227"/>
      <c r="AW43" s="228">
        <f t="shared" si="11"/>
        <v>8789900</v>
      </c>
      <c r="AX43" s="431">
        <f t="shared" si="8"/>
        <v>21585567</v>
      </c>
    </row>
    <row r="44" spans="1:50" ht="15">
      <c r="A44" s="18">
        <v>11</v>
      </c>
      <c r="B44" s="7" t="s">
        <v>78</v>
      </c>
      <c r="C44" s="147"/>
      <c r="D44" s="13"/>
      <c r="E44" s="142"/>
      <c r="F44" s="143"/>
      <c r="G44" s="160"/>
      <c r="H44" s="324">
        <f t="shared" si="9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10"/>
        <v>0</v>
      </c>
      <c r="AH44" s="124">
        <f t="shared" si="7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11"/>
        <v>0</v>
      </c>
      <c r="AX44" s="431">
        <f t="shared" si="8"/>
        <v>0</v>
      </c>
    </row>
    <row r="45" spans="1:50" s="190" customFormat="1" ht="28.5">
      <c r="A45" s="573">
        <v>12</v>
      </c>
      <c r="B45" s="618" t="s">
        <v>79</v>
      </c>
      <c r="C45" s="603">
        <v>1901</v>
      </c>
      <c r="D45" s="597">
        <v>2112878</v>
      </c>
      <c r="E45" s="598">
        <f>+D45*E31</f>
        <v>1479014.5999999999</v>
      </c>
      <c r="F45" s="599">
        <f>+D45*F31</f>
        <v>633863.4</v>
      </c>
      <c r="G45" s="600"/>
      <c r="H45" s="324">
        <f t="shared" si="9"/>
        <v>2112878</v>
      </c>
      <c r="I45" s="253"/>
      <c r="J45" s="232"/>
      <c r="K45" s="253">
        <v>1479015</v>
      </c>
      <c r="L45" s="231"/>
      <c r="M45" s="231"/>
      <c r="N45" s="231"/>
      <c r="O45" s="212"/>
      <c r="P45" s="212"/>
      <c r="Q45" s="212"/>
      <c r="R45" s="212">
        <v>633863</v>
      </c>
      <c r="S45" s="212"/>
      <c r="T45" s="248"/>
      <c r="U45" s="238"/>
      <c r="V45" s="230"/>
      <c r="W45" s="231">
        <v>1479015</v>
      </c>
      <c r="X45" s="231"/>
      <c r="Y45" s="231"/>
      <c r="Z45" s="231"/>
      <c r="AA45" s="231"/>
      <c r="AB45" s="231"/>
      <c r="AC45" s="231"/>
      <c r="AD45" s="231">
        <v>633863</v>
      </c>
      <c r="AE45" s="231"/>
      <c r="AF45" s="231"/>
      <c r="AG45" s="219">
        <f t="shared" si="10"/>
        <v>2112878</v>
      </c>
      <c r="AH45" s="124">
        <f t="shared" si="7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/>
      <c r="AU45" s="231"/>
      <c r="AV45" s="436"/>
      <c r="AW45" s="228">
        <f t="shared" si="11"/>
        <v>0</v>
      </c>
      <c r="AX45" s="431">
        <f t="shared" si="8"/>
        <v>2112878</v>
      </c>
    </row>
    <row r="46" spans="1:50" ht="15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9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7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8"/>
        <v>0</v>
      </c>
    </row>
    <row r="47" spans="1:50" ht="15">
      <c r="A47" s="573">
        <v>14</v>
      </c>
      <c r="B47" s="575" t="s">
        <v>81</v>
      </c>
      <c r="C47" s="576">
        <v>2020</v>
      </c>
      <c r="D47" s="577">
        <v>7260632</v>
      </c>
      <c r="E47" s="578">
        <f>+D47*E31</f>
        <v>5082442.3999999994</v>
      </c>
      <c r="F47" s="579">
        <f>+D47*F31</f>
        <v>2178189.6</v>
      </c>
      <c r="G47" s="580"/>
      <c r="H47" s="324">
        <f t="shared" si="9"/>
        <v>7260632</v>
      </c>
      <c r="I47" s="252"/>
      <c r="J47" s="221"/>
      <c r="K47" s="252"/>
      <c r="L47" s="206">
        <v>5082442</v>
      </c>
      <c r="M47" s="206"/>
      <c r="N47" s="206"/>
      <c r="O47" s="212"/>
      <c r="P47" s="212"/>
      <c r="Q47" s="212"/>
      <c r="R47" s="212">
        <v>2178190</v>
      </c>
      <c r="S47" s="212"/>
      <c r="T47" s="248"/>
      <c r="U47" s="235"/>
      <c r="V47" s="206"/>
      <c r="W47" s="206"/>
      <c r="X47" s="206">
        <v>5082442</v>
      </c>
      <c r="Y47" s="206"/>
      <c r="Z47" s="206"/>
      <c r="AA47" s="206"/>
      <c r="AB47" s="206"/>
      <c r="AC47" s="206"/>
      <c r="AD47" s="206">
        <v>2178190</v>
      </c>
      <c r="AE47" s="206"/>
      <c r="AF47" s="206"/>
      <c r="AG47" s="219">
        <f t="shared" si="10"/>
        <v>7260632</v>
      </c>
      <c r="AH47" s="124">
        <f t="shared" si="7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>
        <v>2113100</v>
      </c>
      <c r="AW47" s="228">
        <f t="shared" ref="AW47:AW67" si="12">SUM(AK47:AV47)</f>
        <v>2113100</v>
      </c>
      <c r="AX47" s="431">
        <f t="shared" si="8"/>
        <v>5147532</v>
      </c>
    </row>
    <row r="48" spans="1:50" ht="15">
      <c r="A48" s="18">
        <v>15</v>
      </c>
      <c r="B48" s="7" t="s">
        <v>82</v>
      </c>
      <c r="C48" s="147"/>
      <c r="D48" s="13"/>
      <c r="E48" s="142"/>
      <c r="F48" s="143"/>
      <c r="G48" s="160"/>
      <c r="H48" s="324">
        <f t="shared" si="9"/>
        <v>0</v>
      </c>
      <c r="I48" s="252"/>
      <c r="J48" s="221"/>
      <c r="K48" s="252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10"/>
        <v>0</v>
      </c>
      <c r="AH48" s="124">
        <f t="shared" si="7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2"/>
        <v>0</v>
      </c>
      <c r="AX48" s="431">
        <f t="shared" si="8"/>
        <v>0</v>
      </c>
    </row>
    <row r="49" spans="1:54" ht="15">
      <c r="A49" s="573">
        <v>16</v>
      </c>
      <c r="B49" s="575" t="s">
        <v>83</v>
      </c>
      <c r="C49" s="576">
        <v>1600</v>
      </c>
      <c r="D49" s="577">
        <v>16815218</v>
      </c>
      <c r="E49" s="578">
        <f>+D49*E31</f>
        <v>11770652.6</v>
      </c>
      <c r="F49" s="579">
        <f>+D49*F31</f>
        <v>5044565.3999999994</v>
      </c>
      <c r="G49" s="580"/>
      <c r="H49" s="324">
        <f t="shared" si="9"/>
        <v>16815217.600000001</v>
      </c>
      <c r="I49" s="252"/>
      <c r="J49" s="221"/>
      <c r="K49" s="252">
        <v>11770652.6</v>
      </c>
      <c r="L49" s="206"/>
      <c r="M49" s="206"/>
      <c r="N49" s="206"/>
      <c r="O49" s="212"/>
      <c r="P49" s="212"/>
      <c r="Q49" s="212"/>
      <c r="R49" s="212">
        <v>5044565</v>
      </c>
      <c r="S49" s="212"/>
      <c r="T49" s="248"/>
      <c r="U49" s="235"/>
      <c r="V49" s="206"/>
      <c r="W49" s="206">
        <v>11770653</v>
      </c>
      <c r="X49" s="206"/>
      <c r="Y49" s="206"/>
      <c r="Z49" s="206"/>
      <c r="AA49" s="206"/>
      <c r="AB49" s="206"/>
      <c r="AC49" s="206"/>
      <c r="AD49" s="206"/>
      <c r="AE49" s="206">
        <v>5044565</v>
      </c>
      <c r="AF49" s="206"/>
      <c r="AG49" s="219">
        <f t="shared" si="10"/>
        <v>16815218</v>
      </c>
      <c r="AH49" s="124">
        <f t="shared" si="7"/>
        <v>-0.39999999850988388</v>
      </c>
      <c r="AK49" s="235"/>
      <c r="AL49" s="206"/>
      <c r="AM49" s="206"/>
      <c r="AN49" s="206"/>
      <c r="AO49" s="206"/>
      <c r="AP49" s="206"/>
      <c r="AQ49" s="206">
        <v>5191200</v>
      </c>
      <c r="AR49" s="206">
        <v>1730400</v>
      </c>
      <c r="AS49" s="206">
        <v>1338176</v>
      </c>
      <c r="AT49" s="206"/>
      <c r="AU49" s="206">
        <v>1338176</v>
      </c>
      <c r="AV49" s="227">
        <v>1338176</v>
      </c>
      <c r="AW49" s="228">
        <f t="shared" si="12"/>
        <v>10936128</v>
      </c>
      <c r="AX49" s="431">
        <f t="shared" si="8"/>
        <v>5879090</v>
      </c>
    </row>
    <row r="50" spans="1:54" ht="15">
      <c r="A50" s="573">
        <v>17</v>
      </c>
      <c r="B50" s="575" t="s">
        <v>95</v>
      </c>
      <c r="C50" s="576">
        <v>1231</v>
      </c>
      <c r="D50" s="577">
        <v>1832610</v>
      </c>
      <c r="E50" s="578">
        <f>+D50*$E$31</f>
        <v>1282827</v>
      </c>
      <c r="F50" s="579">
        <f>+D50*$F$31</f>
        <v>549783</v>
      </c>
      <c r="G50" s="580"/>
      <c r="H50" s="324">
        <f t="shared" si="9"/>
        <v>1832610</v>
      </c>
      <c r="I50" s="252"/>
      <c r="J50" s="221"/>
      <c r="K50" s="252">
        <v>1282827</v>
      </c>
      <c r="L50" s="206"/>
      <c r="M50" s="206"/>
      <c r="N50" s="206"/>
      <c r="O50" s="212"/>
      <c r="P50" s="212"/>
      <c r="Q50" s="212"/>
      <c r="R50" s="212">
        <v>424700.64734429156</v>
      </c>
      <c r="S50" s="212">
        <v>125082.35265570832</v>
      </c>
      <c r="T50" s="248"/>
      <c r="U50" s="235"/>
      <c r="V50" s="206"/>
      <c r="W50" s="206">
        <v>1282827</v>
      </c>
      <c r="X50" s="206"/>
      <c r="Y50" s="206"/>
      <c r="Z50" s="206"/>
      <c r="AA50" s="206"/>
      <c r="AB50" s="206"/>
      <c r="AC50" s="206"/>
      <c r="AD50" s="206">
        <v>424700.64734429156</v>
      </c>
      <c r="AE50" s="206">
        <v>125082.35265570832</v>
      </c>
      <c r="AF50" s="206"/>
      <c r="AG50" s="219">
        <f t="shared" si="10"/>
        <v>1832610</v>
      </c>
      <c r="AH50" s="124">
        <f t="shared" si="7"/>
        <v>0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>
        <v>83248.325111103346</v>
      </c>
      <c r="AW50" s="228">
        <f t="shared" si="12"/>
        <v>83248.325111103346</v>
      </c>
      <c r="AX50" s="431">
        <f t="shared" si="8"/>
        <v>1749361.6748888968</v>
      </c>
      <c r="AY50" s="170">
        <f>+AX50+AX51+AX52+AX53</f>
        <v>30049700</v>
      </c>
      <c r="AZ50" s="6">
        <v>1430000</v>
      </c>
      <c r="BA50" s="149">
        <f>+(AX50*$AY$51)/$AY$50</f>
        <v>5.8215611965806539E-2</v>
      </c>
      <c r="BB50" s="6">
        <f>+$AZ$50*BA50</f>
        <v>83248.325111103346</v>
      </c>
    </row>
    <row r="51" spans="1:54" ht="15">
      <c r="A51" s="573">
        <v>18</v>
      </c>
      <c r="B51" s="575" t="s">
        <v>96</v>
      </c>
      <c r="C51" s="576">
        <v>1231</v>
      </c>
      <c r="D51" s="577">
        <v>21991320</v>
      </c>
      <c r="E51" s="578">
        <f>+D51*$E$31</f>
        <v>15393923.999999998</v>
      </c>
      <c r="F51" s="579">
        <f>+D51*$F$31</f>
        <v>6597396</v>
      </c>
      <c r="G51" s="580"/>
      <c r="H51" s="324">
        <f t="shared" si="9"/>
        <v>21991320</v>
      </c>
      <c r="I51" s="252"/>
      <c r="J51" s="221"/>
      <c r="K51" s="252">
        <v>15393923.999999998</v>
      </c>
      <c r="L51" s="206"/>
      <c r="M51" s="206"/>
      <c r="N51" s="206"/>
      <c r="O51" s="212"/>
      <c r="P51" s="212"/>
      <c r="Q51" s="212"/>
      <c r="R51" s="212">
        <v>2972904.5314100403</v>
      </c>
      <c r="S51" s="212">
        <v>3624491.4685899615</v>
      </c>
      <c r="T51" s="248"/>
      <c r="U51" s="235"/>
      <c r="V51" s="206"/>
      <c r="W51" s="206">
        <v>15393923.999999998</v>
      </c>
      <c r="X51" s="206"/>
      <c r="Y51" s="206"/>
      <c r="Z51" s="206"/>
      <c r="AA51" s="206"/>
      <c r="AB51" s="206"/>
      <c r="AC51" s="206"/>
      <c r="AD51" s="206">
        <v>2972904.5314100403</v>
      </c>
      <c r="AE51" s="206">
        <v>3624491.4685899615</v>
      </c>
      <c r="AF51" s="206"/>
      <c r="AG51" s="219">
        <f t="shared" si="10"/>
        <v>21991320</v>
      </c>
      <c r="AH51" s="124">
        <f t="shared" si="7"/>
        <v>0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>
        <v>998979.90133324021</v>
      </c>
      <c r="AW51" s="228">
        <f t="shared" si="12"/>
        <v>998979.90133324021</v>
      </c>
      <c r="AX51" s="431">
        <f t="shared" si="8"/>
        <v>20992340.098666761</v>
      </c>
      <c r="AY51" s="149">
        <v>1</v>
      </c>
      <c r="BA51" s="149">
        <f>+(AX51*$AY$51)/$AY$50</f>
        <v>0.69858734358967844</v>
      </c>
      <c r="BB51" s="6">
        <f>+$AZ$50*BA51</f>
        <v>998979.90133324021</v>
      </c>
    </row>
    <row r="52" spans="1:54" ht="15">
      <c r="A52" s="573">
        <v>19</v>
      </c>
      <c r="B52" s="575" t="s">
        <v>97</v>
      </c>
      <c r="C52" s="576">
        <v>1231</v>
      </c>
      <c r="D52" s="577">
        <v>2508792</v>
      </c>
      <c r="E52" s="578">
        <f>+D52*$E$31</f>
        <v>1756154.4</v>
      </c>
      <c r="F52" s="579">
        <f>+D52*$F$31</f>
        <v>752637.6</v>
      </c>
      <c r="G52" s="580"/>
      <c r="H52" s="324">
        <f t="shared" si="9"/>
        <v>2508792</v>
      </c>
      <c r="I52" s="252"/>
      <c r="J52" s="221"/>
      <c r="K52" s="252">
        <v>1756154.4</v>
      </c>
      <c r="L52" s="206"/>
      <c r="M52" s="206"/>
      <c r="N52" s="206"/>
      <c r="O52" s="212"/>
      <c r="P52" s="212"/>
      <c r="Q52" s="212"/>
      <c r="R52" s="212">
        <v>594617.05870995822</v>
      </c>
      <c r="S52" s="212">
        <v>158020.54129004199</v>
      </c>
      <c r="T52" s="248"/>
      <c r="U52" s="235"/>
      <c r="V52" s="206"/>
      <c r="W52" s="206">
        <v>1756154.4</v>
      </c>
      <c r="X52" s="206"/>
      <c r="Y52" s="206"/>
      <c r="Z52" s="206"/>
      <c r="AA52" s="206"/>
      <c r="AB52" s="206"/>
      <c r="AC52" s="206"/>
      <c r="AD52" s="206">
        <v>594617.05870995822</v>
      </c>
      <c r="AE52" s="206">
        <v>158020.54129004199</v>
      </c>
      <c r="AF52" s="206"/>
      <c r="AG52" s="219">
        <f t="shared" si="10"/>
        <v>2508792</v>
      </c>
      <c r="AH52" s="124">
        <f t="shared" si="7"/>
        <v>0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>
        <v>113964.63625765176</v>
      </c>
      <c r="AW52" s="228">
        <f t="shared" si="12"/>
        <v>113964.63625765176</v>
      </c>
      <c r="AX52" s="431">
        <f t="shared" si="8"/>
        <v>2394827.3637423483</v>
      </c>
      <c r="BA52" s="149">
        <f>+(AX52*$AY$51)/$AY$50</f>
        <v>7.9695549830525708E-2</v>
      </c>
      <c r="BB52" s="6">
        <f>+$AZ$50*BA52</f>
        <v>113964.63625765176</v>
      </c>
    </row>
    <row r="53" spans="1:54" ht="15">
      <c r="A53" s="573">
        <v>20</v>
      </c>
      <c r="B53" s="575" t="s">
        <v>98</v>
      </c>
      <c r="C53" s="576">
        <v>1231</v>
      </c>
      <c r="D53" s="577">
        <v>5146978</v>
      </c>
      <c r="E53" s="578">
        <f>+D53*$E$31</f>
        <v>3602884.5999999996</v>
      </c>
      <c r="F53" s="579">
        <f>+D53*$F$31</f>
        <v>1544093.4</v>
      </c>
      <c r="G53" s="580"/>
      <c r="H53" s="324">
        <f t="shared" si="9"/>
        <v>5146978</v>
      </c>
      <c r="I53" s="252"/>
      <c r="J53" s="221"/>
      <c r="K53" s="252">
        <v>3602884.5999999996</v>
      </c>
      <c r="L53" s="206"/>
      <c r="M53" s="206"/>
      <c r="N53" s="206"/>
      <c r="O53" s="212"/>
      <c r="P53" s="212"/>
      <c r="Q53" s="212"/>
      <c r="R53" s="212">
        <v>150669.76253570998</v>
      </c>
      <c r="S53" s="212">
        <v>1393423.6374642905</v>
      </c>
      <c r="T53" s="248"/>
      <c r="U53" s="235"/>
      <c r="V53" s="206"/>
      <c r="W53" s="206">
        <v>3602884.5999999996</v>
      </c>
      <c r="X53" s="206"/>
      <c r="Y53" s="206"/>
      <c r="Z53" s="206"/>
      <c r="AA53" s="206"/>
      <c r="AB53" s="206"/>
      <c r="AC53" s="206"/>
      <c r="AD53" s="206">
        <v>150669.76253570998</v>
      </c>
      <c r="AE53" s="206">
        <v>1393423.6374642905</v>
      </c>
      <c r="AF53" s="206"/>
      <c r="AG53" s="219">
        <f t="shared" si="10"/>
        <v>5146978</v>
      </c>
      <c r="AH53" s="124">
        <f t="shared" si="7"/>
        <v>0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>
        <v>233807.13729800473</v>
      </c>
      <c r="AW53" s="228">
        <f t="shared" si="12"/>
        <v>233807.13729800473</v>
      </c>
      <c r="AX53" s="431">
        <f t="shared" si="8"/>
        <v>4913170.8627019953</v>
      </c>
      <c r="BA53" s="149">
        <f>+(AX53*$AY$51)/$AY$50</f>
        <v>0.16350149461398933</v>
      </c>
      <c r="BB53" s="6">
        <f>+$AZ$50*BA53</f>
        <v>233807.13729800473</v>
      </c>
    </row>
    <row r="54" spans="1:54" ht="15">
      <c r="A54" s="18">
        <v>21</v>
      </c>
      <c r="B54" s="7" t="s">
        <v>84</v>
      </c>
      <c r="C54" s="147"/>
      <c r="D54" s="13"/>
      <c r="E54" s="142"/>
      <c r="F54" s="143"/>
      <c r="G54" s="160"/>
      <c r="H54" s="324">
        <f t="shared" si="9"/>
        <v>0</v>
      </c>
      <c r="I54" s="252"/>
      <c r="J54" s="221"/>
      <c r="K54" s="252"/>
      <c r="L54" s="206"/>
      <c r="M54" s="206"/>
      <c r="N54" s="206"/>
      <c r="O54" s="212"/>
      <c r="P54" s="212"/>
      <c r="Q54" s="212"/>
      <c r="R54" s="212"/>
      <c r="S54" s="212"/>
      <c r="T54" s="248"/>
      <c r="U54" s="235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19">
        <f t="shared" si="10"/>
        <v>0</v>
      </c>
      <c r="AH54" s="124">
        <f t="shared" si="7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2"/>
        <v>0</v>
      </c>
      <c r="AX54" s="431">
        <f t="shared" si="8"/>
        <v>0</v>
      </c>
    </row>
    <row r="55" spans="1:54" ht="15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9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10"/>
        <v>0</v>
      </c>
      <c r="AH55" s="124">
        <f t="shared" si="7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2"/>
        <v>0</v>
      </c>
      <c r="AX55" s="431">
        <f t="shared" si="8"/>
        <v>0</v>
      </c>
    </row>
    <row r="56" spans="1:54" ht="15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9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10"/>
        <v>0</v>
      </c>
      <c r="AH56" s="124">
        <f t="shared" si="7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2"/>
        <v>0</v>
      </c>
      <c r="AX56" s="431">
        <f t="shared" si="8"/>
        <v>0</v>
      </c>
    </row>
    <row r="57" spans="1:54" ht="15">
      <c r="A57" s="18">
        <v>24</v>
      </c>
      <c r="B57" s="7" t="s">
        <v>87</v>
      </c>
      <c r="C57" s="147"/>
      <c r="D57" s="13"/>
      <c r="E57" s="142"/>
      <c r="F57" s="143"/>
      <c r="G57" s="160"/>
      <c r="H57" s="324">
        <f t="shared" si="9"/>
        <v>0</v>
      </c>
      <c r="I57" s="252"/>
      <c r="J57" s="221"/>
      <c r="K57" s="252"/>
      <c r="L57" s="206"/>
      <c r="M57" s="206"/>
      <c r="N57" s="206"/>
      <c r="O57" s="212"/>
      <c r="P57" s="212"/>
      <c r="Q57" s="212"/>
      <c r="R57" s="212"/>
      <c r="S57" s="212"/>
      <c r="T57" s="248"/>
      <c r="U57" s="235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10"/>
        <v>0</v>
      </c>
      <c r="AH57" s="124">
        <f t="shared" si="7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2"/>
        <v>0</v>
      </c>
      <c r="AX57" s="431">
        <f t="shared" si="8"/>
        <v>0</v>
      </c>
    </row>
    <row r="58" spans="1:54" s="190" customFormat="1" ht="28.5">
      <c r="A58" s="573">
        <v>25</v>
      </c>
      <c r="B58" s="595" t="s">
        <v>109</v>
      </c>
      <c r="C58" s="603">
        <v>2389</v>
      </c>
      <c r="D58" s="597">
        <v>1954658</v>
      </c>
      <c r="E58" s="598">
        <f>+D58*E31</f>
        <v>1368260.5999999999</v>
      </c>
      <c r="F58" s="599">
        <f>+D58*F31</f>
        <v>586397.4</v>
      </c>
      <c r="G58" s="600"/>
      <c r="H58" s="361">
        <f t="shared" si="9"/>
        <v>1954658</v>
      </c>
      <c r="I58" s="253"/>
      <c r="J58" s="232"/>
      <c r="K58" s="253"/>
      <c r="L58" s="231"/>
      <c r="M58" s="231">
        <v>1368260</v>
      </c>
      <c r="N58" s="231"/>
      <c r="O58" s="212"/>
      <c r="P58" s="212"/>
      <c r="Q58" s="212"/>
      <c r="R58" s="212">
        <v>586398</v>
      </c>
      <c r="S58" s="212"/>
      <c r="T58" s="248"/>
      <c r="U58" s="238"/>
      <c r="V58" s="231"/>
      <c r="W58" s="231"/>
      <c r="X58" s="231"/>
      <c r="Y58" s="231">
        <v>1368260</v>
      </c>
      <c r="Z58" s="231"/>
      <c r="AA58" s="231"/>
      <c r="AB58" s="231"/>
      <c r="AC58" s="231"/>
      <c r="AD58" s="231">
        <v>586398</v>
      </c>
      <c r="AE58" s="231"/>
      <c r="AF58" s="231"/>
      <c r="AG58" s="359">
        <f t="shared" si="10"/>
        <v>1954658</v>
      </c>
      <c r="AH58" s="350">
        <f t="shared" si="7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36">
        <v>2000000</v>
      </c>
      <c r="AW58" s="450">
        <f t="shared" si="12"/>
        <v>2000000</v>
      </c>
      <c r="AX58" s="431">
        <f t="shared" si="8"/>
        <v>-45342</v>
      </c>
    </row>
    <row r="59" spans="1:54" ht="15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9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10"/>
        <v>0</v>
      </c>
      <c r="AH59" s="124">
        <f t="shared" si="7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2"/>
        <v>0</v>
      </c>
      <c r="AX59" s="431">
        <f t="shared" si="8"/>
        <v>0</v>
      </c>
    </row>
    <row r="60" spans="1:54" ht="15">
      <c r="A60" s="18">
        <v>27</v>
      </c>
      <c r="B60" s="7" t="s">
        <v>89</v>
      </c>
      <c r="C60" s="147"/>
      <c r="D60" s="13"/>
      <c r="E60" s="142"/>
      <c r="F60" s="143"/>
      <c r="G60" s="160"/>
      <c r="H60" s="324">
        <f t="shared" si="9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10"/>
        <v>0</v>
      </c>
      <c r="AH60" s="124">
        <f t="shared" si="7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2"/>
        <v>0</v>
      </c>
      <c r="AX60" s="431">
        <f t="shared" si="8"/>
        <v>0</v>
      </c>
    </row>
    <row r="61" spans="1:54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9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10"/>
        <v>0</v>
      </c>
      <c r="AH61" s="124">
        <f t="shared" si="7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2"/>
        <v>0</v>
      </c>
      <c r="AX61" s="431">
        <f t="shared" si="8"/>
        <v>0</v>
      </c>
    </row>
    <row r="62" spans="1:54" ht="15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9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10"/>
        <v>0</v>
      </c>
      <c r="AH62" s="124">
        <f t="shared" si="7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2"/>
        <v>0</v>
      </c>
      <c r="AX62" s="431">
        <f t="shared" si="8"/>
        <v>0</v>
      </c>
    </row>
    <row r="63" spans="1:54" ht="15">
      <c r="A63" s="573">
        <v>30</v>
      </c>
      <c r="B63" s="575" t="s">
        <v>90</v>
      </c>
      <c r="C63" s="576">
        <v>1842</v>
      </c>
      <c r="D63" s="577">
        <v>12323107</v>
      </c>
      <c r="E63" s="578">
        <f>+D63*E31</f>
        <v>8626174.9000000004</v>
      </c>
      <c r="F63" s="579">
        <f>+D63*F31</f>
        <v>3696932.1</v>
      </c>
      <c r="G63" s="580"/>
      <c r="H63" s="324">
        <f t="shared" si="9"/>
        <v>12323107</v>
      </c>
      <c r="I63" s="252"/>
      <c r="J63" s="221"/>
      <c r="K63" s="252">
        <v>8626175</v>
      </c>
      <c r="L63" s="206"/>
      <c r="M63" s="206"/>
      <c r="N63" s="206"/>
      <c r="O63" s="212"/>
      <c r="P63" s="212"/>
      <c r="Q63" s="212"/>
      <c r="R63" s="212">
        <v>3696932</v>
      </c>
      <c r="S63" s="212"/>
      <c r="T63" s="248"/>
      <c r="U63" s="235"/>
      <c r="V63" s="206"/>
      <c r="W63" s="206">
        <v>8626175</v>
      </c>
      <c r="X63" s="206"/>
      <c r="Y63" s="206"/>
      <c r="Z63" s="206"/>
      <c r="AA63" s="206"/>
      <c r="AB63" s="206"/>
      <c r="AC63" s="206"/>
      <c r="AD63" s="206">
        <v>3696932</v>
      </c>
      <c r="AE63" s="206"/>
      <c r="AF63" s="206"/>
      <c r="AG63" s="219">
        <f t="shared" si="10"/>
        <v>12323107</v>
      </c>
      <c r="AH63" s="124">
        <f t="shared" si="7"/>
        <v>0</v>
      </c>
      <c r="AK63" s="235"/>
      <c r="AL63" s="206"/>
      <c r="AM63" s="206"/>
      <c r="AN63" s="206"/>
      <c r="AO63" s="206"/>
      <c r="AP63" s="206"/>
      <c r="AQ63" s="206"/>
      <c r="AR63" s="206"/>
      <c r="AS63" s="206">
        <v>6729450</v>
      </c>
      <c r="AT63" s="206"/>
      <c r="AU63" s="206"/>
      <c r="AV63" s="227">
        <v>2377942</v>
      </c>
      <c r="AW63" s="228">
        <f t="shared" si="12"/>
        <v>9107392</v>
      </c>
      <c r="AX63" s="431">
        <f t="shared" si="8"/>
        <v>3215715</v>
      </c>
    </row>
    <row r="64" spans="1:54" ht="15">
      <c r="A64" s="18">
        <v>31</v>
      </c>
      <c r="B64" s="7" t="s">
        <v>91</v>
      </c>
      <c r="C64" s="147"/>
      <c r="D64" s="13"/>
      <c r="E64" s="142"/>
      <c r="F64" s="143"/>
      <c r="G64" s="160"/>
      <c r="H64" s="324">
        <f t="shared" si="9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10"/>
        <v>0</v>
      </c>
      <c r="AH64" s="124">
        <f t="shared" si="7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2"/>
        <v>0</v>
      </c>
      <c r="AX64" s="431">
        <f t="shared" si="8"/>
        <v>0</v>
      </c>
    </row>
    <row r="65" spans="1:50" ht="15">
      <c r="A65" s="573">
        <v>32</v>
      </c>
      <c r="B65" s="575" t="s">
        <v>92</v>
      </c>
      <c r="C65" s="576">
        <v>1381</v>
      </c>
      <c r="D65" s="577">
        <v>4466140</v>
      </c>
      <c r="E65" s="578">
        <f>+D65*E31</f>
        <v>3126298</v>
      </c>
      <c r="F65" s="579">
        <f>+D65*F31</f>
        <v>1339842</v>
      </c>
      <c r="G65" s="580"/>
      <c r="H65" s="324">
        <f t="shared" si="9"/>
        <v>4466140</v>
      </c>
      <c r="I65" s="252"/>
      <c r="J65" s="221"/>
      <c r="K65" s="252">
        <v>3126298</v>
      </c>
      <c r="L65" s="206"/>
      <c r="M65" s="206"/>
      <c r="N65" s="206"/>
      <c r="O65" s="212"/>
      <c r="P65" s="212"/>
      <c r="Q65" s="212"/>
      <c r="R65" s="212">
        <v>1339842</v>
      </c>
      <c r="S65" s="212"/>
      <c r="T65" s="248"/>
      <c r="U65" s="235"/>
      <c r="V65" s="206"/>
      <c r="W65" s="206">
        <v>3126298</v>
      </c>
      <c r="X65" s="206"/>
      <c r="Y65" s="206"/>
      <c r="Z65" s="206"/>
      <c r="AA65" s="206"/>
      <c r="AB65" s="206"/>
      <c r="AC65" s="206"/>
      <c r="AD65" s="206">
        <v>1339842</v>
      </c>
      <c r="AE65" s="206"/>
      <c r="AF65" s="206"/>
      <c r="AG65" s="219">
        <f t="shared" si="10"/>
        <v>4466140</v>
      </c>
      <c r="AH65" s="124">
        <f t="shared" si="7"/>
        <v>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2"/>
        <v>0</v>
      </c>
      <c r="AX65" s="431">
        <f t="shared" si="8"/>
        <v>4466140</v>
      </c>
    </row>
    <row r="66" spans="1:50" ht="15">
      <c r="A66" s="573">
        <v>33</v>
      </c>
      <c r="B66" s="568" t="s">
        <v>107</v>
      </c>
      <c r="C66" s="569">
        <v>3120</v>
      </c>
      <c r="D66" s="567">
        <v>5950926</v>
      </c>
      <c r="E66" s="563">
        <f>+D66*E31</f>
        <v>4165648.1999999997</v>
      </c>
      <c r="F66" s="564">
        <f>+D66*F31</f>
        <v>1785277.8</v>
      </c>
      <c r="G66" s="565"/>
      <c r="H66" s="324">
        <f t="shared" si="9"/>
        <v>5950926</v>
      </c>
      <c r="I66" s="254"/>
      <c r="J66" s="222"/>
      <c r="K66" s="254"/>
      <c r="L66" s="210"/>
      <c r="M66" s="210"/>
      <c r="N66" s="210">
        <v>4165648</v>
      </c>
      <c r="O66" s="212"/>
      <c r="P66" s="212"/>
      <c r="Q66" s="212"/>
      <c r="R66" s="212">
        <v>1785278</v>
      </c>
      <c r="S66" s="212"/>
      <c r="T66" s="248"/>
      <c r="U66" s="236"/>
      <c r="V66" s="210"/>
      <c r="W66" s="210"/>
      <c r="X66" s="210"/>
      <c r="Y66" s="210"/>
      <c r="Z66" s="210">
        <v>4165648</v>
      </c>
      <c r="AA66" s="210"/>
      <c r="AB66" s="210"/>
      <c r="AC66" s="210"/>
      <c r="AD66" s="210">
        <v>1785278</v>
      </c>
      <c r="AE66" s="210"/>
      <c r="AF66" s="210"/>
      <c r="AG66" s="219">
        <f t="shared" si="10"/>
        <v>5950926</v>
      </c>
      <c r="AH66" s="124">
        <f t="shared" si="7"/>
        <v>0</v>
      </c>
      <c r="AK66" s="236"/>
      <c r="AL66" s="210"/>
      <c r="AM66" s="210"/>
      <c r="AN66" s="210"/>
      <c r="AO66" s="210"/>
      <c r="AP66" s="210"/>
      <c r="AQ66" s="210">
        <v>5739320</v>
      </c>
      <c r="AR66" s="210">
        <v>2295728</v>
      </c>
      <c r="AS66" s="210">
        <v>1147864</v>
      </c>
      <c r="AT66" s="210"/>
      <c r="AU66" s="210">
        <v>1147864</v>
      </c>
      <c r="AV66" s="229">
        <v>1147864</v>
      </c>
      <c r="AW66" s="228">
        <f t="shared" si="12"/>
        <v>11478640</v>
      </c>
      <c r="AX66" s="431">
        <f t="shared" si="8"/>
        <v>-5527714</v>
      </c>
    </row>
    <row r="67" spans="1:50" ht="12.75" customHeight="1">
      <c r="A67" s="573">
        <v>34</v>
      </c>
      <c r="B67" s="568" t="s">
        <v>180</v>
      </c>
      <c r="C67" s="569" t="s">
        <v>312</v>
      </c>
      <c r="D67" s="567">
        <f>4366488+49102000+25782742+9423096</f>
        <v>88674326</v>
      </c>
      <c r="E67" s="563">
        <v>3056541.5999999996</v>
      </c>
      <c r="F67" s="564">
        <v>1309946.3999999999</v>
      </c>
      <c r="G67" s="565">
        <f>49102000+25782742</f>
        <v>74884742</v>
      </c>
      <c r="H67" s="324">
        <f t="shared" si="9"/>
        <v>98490178.400000006</v>
      </c>
      <c r="I67" s="254"/>
      <c r="J67" s="222"/>
      <c r="K67" s="254">
        <v>3056541</v>
      </c>
      <c r="L67" s="210">
        <v>31314859</v>
      </c>
      <c r="M67" s="210">
        <v>17857224</v>
      </c>
      <c r="N67" s="210"/>
      <c r="O67" s="212"/>
      <c r="P67" s="212">
        <v>18047919.399999999</v>
      </c>
      <c r="Q67" s="212">
        <v>18047920</v>
      </c>
      <c r="R67" s="212">
        <f>6746849+2227837</f>
        <v>8974686</v>
      </c>
      <c r="S67" s="212">
        <f>9423096-8232067</f>
        <v>1191029</v>
      </c>
      <c r="T67" s="248"/>
      <c r="U67" s="236"/>
      <c r="V67" s="210"/>
      <c r="W67" s="210">
        <v>3056541</v>
      </c>
      <c r="X67" s="210">
        <v>31314859</v>
      </c>
      <c r="Y67" s="210">
        <v>17857224</v>
      </c>
      <c r="Z67" s="210"/>
      <c r="AA67" s="210"/>
      <c r="AB67" s="210">
        <v>18047919.399999999</v>
      </c>
      <c r="AC67" s="210">
        <v>18047920</v>
      </c>
      <c r="AD67" s="210"/>
      <c r="AE67" s="210">
        <v>349862.59999999404</v>
      </c>
      <c r="AF67" s="210"/>
      <c r="AG67" s="219">
        <f t="shared" si="10"/>
        <v>88674326</v>
      </c>
      <c r="AH67" s="124">
        <f t="shared" si="7"/>
        <v>9815852.400000006</v>
      </c>
      <c r="AI67" s="6"/>
      <c r="AK67" s="236"/>
      <c r="AL67" s="210"/>
      <c r="AM67" s="210"/>
      <c r="AN67" s="210"/>
      <c r="AO67" s="210"/>
      <c r="AP67" s="210"/>
      <c r="AQ67" s="210">
        <v>12262486</v>
      </c>
      <c r="AR67" s="210">
        <v>7687348</v>
      </c>
      <c r="AS67" s="210">
        <v>8274848</v>
      </c>
      <c r="AT67" s="210"/>
      <c r="AU67" s="210">
        <v>7824848</v>
      </c>
      <c r="AV67" s="229">
        <v>6880848</v>
      </c>
      <c r="AW67" s="228">
        <f t="shared" si="12"/>
        <v>42930378</v>
      </c>
      <c r="AX67" s="431">
        <f t="shared" si="8"/>
        <v>45743948</v>
      </c>
    </row>
    <row r="68" spans="1:50" ht="15">
      <c r="A68" s="18">
        <v>35</v>
      </c>
      <c r="B68" s="52" t="s">
        <v>181</v>
      </c>
      <c r="C68" s="574"/>
      <c r="D68" s="43"/>
      <c r="E68" s="174"/>
      <c r="F68" s="175"/>
      <c r="G68" s="176"/>
      <c r="H68" s="324">
        <f t="shared" si="9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3">SUM(U68:AF68)</f>
        <v>0</v>
      </c>
      <c r="AH68" s="124">
        <f t="shared" si="7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4">SUM(AK68:AV68)</f>
        <v>0</v>
      </c>
      <c r="AX68" s="431">
        <f t="shared" si="8"/>
        <v>0</v>
      </c>
    </row>
    <row r="69" spans="1:50" ht="15">
      <c r="A69" s="18">
        <v>36</v>
      </c>
      <c r="B69" s="52" t="s">
        <v>182</v>
      </c>
      <c r="C69" s="148">
        <v>6</v>
      </c>
      <c r="D69" s="43"/>
      <c r="E69" s="174"/>
      <c r="F69" s="175"/>
      <c r="G69" s="176"/>
      <c r="H69" s="324">
        <f t="shared" si="9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3"/>
        <v>0</v>
      </c>
      <c r="AH69" s="124">
        <f t="shared" si="7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4"/>
        <v>0</v>
      </c>
      <c r="AX69" s="431">
        <f t="shared" si="8"/>
        <v>0</v>
      </c>
    </row>
    <row r="70" spans="1:50" ht="15">
      <c r="A70" s="573">
        <v>37</v>
      </c>
      <c r="B70" s="568" t="s">
        <v>132</v>
      </c>
      <c r="C70" s="569">
        <v>2257</v>
      </c>
      <c r="D70" s="567">
        <v>10535176</v>
      </c>
      <c r="E70" s="563">
        <f>+D70*0.5</f>
        <v>5267588</v>
      </c>
      <c r="F70" s="564">
        <f>+D70*0.25</f>
        <v>2633794</v>
      </c>
      <c r="G70" s="565">
        <f>+D70*0.25</f>
        <v>2633794</v>
      </c>
      <c r="H70" s="324">
        <f t="shared" si="9"/>
        <v>10535176</v>
      </c>
      <c r="I70" s="254"/>
      <c r="J70" s="222"/>
      <c r="K70" s="254"/>
      <c r="L70" s="210"/>
      <c r="M70" s="210">
        <v>5267588</v>
      </c>
      <c r="N70" s="210"/>
      <c r="O70" s="212"/>
      <c r="P70" s="212">
        <v>2633794</v>
      </c>
      <c r="Q70" s="212"/>
      <c r="R70" s="212">
        <v>2633794</v>
      </c>
      <c r="S70" s="212"/>
      <c r="T70" s="248"/>
      <c r="U70" s="236"/>
      <c r="V70" s="210"/>
      <c r="W70" s="210"/>
      <c r="X70" s="210"/>
      <c r="Y70" s="210">
        <v>5267588</v>
      </c>
      <c r="Z70" s="210"/>
      <c r="AA70" s="210"/>
      <c r="AB70" s="210"/>
      <c r="AC70" s="210">
        <v>2633794</v>
      </c>
      <c r="AD70" s="210">
        <v>2633794</v>
      </c>
      <c r="AE70" s="210"/>
      <c r="AF70" s="210"/>
      <c r="AG70" s="219">
        <f t="shared" si="13"/>
        <v>10535176</v>
      </c>
      <c r="AH70" s="124">
        <f t="shared" si="7"/>
        <v>0</v>
      </c>
      <c r="AK70" s="236"/>
      <c r="AL70" s="210"/>
      <c r="AM70" s="210"/>
      <c r="AN70" s="210"/>
      <c r="AO70" s="210"/>
      <c r="AP70" s="210"/>
      <c r="AQ70" s="210">
        <v>4740000</v>
      </c>
      <c r="AR70" s="210">
        <v>1580000</v>
      </c>
      <c r="AS70" s="210">
        <v>1580000</v>
      </c>
      <c r="AT70" s="210"/>
      <c r="AU70" s="210">
        <v>1580000</v>
      </c>
      <c r="AV70" s="229">
        <v>1580000</v>
      </c>
      <c r="AW70" s="228">
        <f t="shared" si="14"/>
        <v>11060000</v>
      </c>
      <c r="AX70" s="431">
        <f t="shared" si="8"/>
        <v>-524824</v>
      </c>
    </row>
    <row r="71" spans="1:50" ht="15">
      <c r="A71" s="573">
        <v>38</v>
      </c>
      <c r="B71" s="568" t="s">
        <v>129</v>
      </c>
      <c r="C71" s="569">
        <v>2388</v>
      </c>
      <c r="D71" s="567">
        <v>1075966</v>
      </c>
      <c r="E71" s="563">
        <f>+D71*E31</f>
        <v>753176.2</v>
      </c>
      <c r="F71" s="564">
        <f>+D71*F31</f>
        <v>322789.8</v>
      </c>
      <c r="G71" s="565"/>
      <c r="H71" s="324">
        <f t="shared" si="9"/>
        <v>1075966</v>
      </c>
      <c r="I71" s="254"/>
      <c r="J71" s="222"/>
      <c r="K71" s="254">
        <v>0</v>
      </c>
      <c r="L71" s="210">
        <v>753176</v>
      </c>
      <c r="M71" s="210"/>
      <c r="N71" s="210"/>
      <c r="O71" s="212"/>
      <c r="P71" s="212"/>
      <c r="Q71" s="212"/>
      <c r="R71" s="212"/>
      <c r="S71" s="212">
        <v>322790</v>
      </c>
      <c r="T71" s="248"/>
      <c r="U71" s="236"/>
      <c r="V71" s="210"/>
      <c r="W71" s="210"/>
      <c r="X71" s="210">
        <v>753176</v>
      </c>
      <c r="Y71" s="210"/>
      <c r="Z71" s="210"/>
      <c r="AA71" s="210"/>
      <c r="AB71" s="210"/>
      <c r="AC71" s="210"/>
      <c r="AD71" s="210"/>
      <c r="AE71" s="210">
        <v>322790</v>
      </c>
      <c r="AF71" s="210"/>
      <c r="AG71" s="219">
        <f t="shared" si="13"/>
        <v>1075966</v>
      </c>
      <c r="AH71" s="124">
        <f t="shared" si="7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4"/>
        <v>0</v>
      </c>
      <c r="AX71" s="431">
        <f t="shared" si="8"/>
        <v>1075966</v>
      </c>
    </row>
    <row r="72" spans="1:50" ht="15">
      <c r="A72" s="18">
        <v>39</v>
      </c>
      <c r="B72" s="52" t="s">
        <v>133</v>
      </c>
      <c r="C72" s="148">
        <v>2215</v>
      </c>
      <c r="D72" s="43">
        <v>2413260</v>
      </c>
      <c r="E72" s="174">
        <v>804420</v>
      </c>
      <c r="F72" s="175">
        <v>804420</v>
      </c>
      <c r="G72" s="176">
        <v>804420</v>
      </c>
      <c r="H72" s="324">
        <f t="shared" si="9"/>
        <v>2413260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3"/>
        <v>796375.8</v>
      </c>
      <c r="AH72" s="124">
        <f t="shared" si="7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4"/>
        <v>0</v>
      </c>
      <c r="AX72" s="431">
        <f t="shared" si="8"/>
        <v>796375.8</v>
      </c>
    </row>
    <row r="73" spans="1:50" ht="15">
      <c r="A73" s="18">
        <v>40</v>
      </c>
      <c r="B73" s="52" t="s">
        <v>134</v>
      </c>
      <c r="C73" s="148"/>
      <c r="D73" s="43"/>
      <c r="E73" s="174"/>
      <c r="F73" s="175"/>
      <c r="G73" s="176"/>
      <c r="H73" s="324">
        <f t="shared" si="9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3"/>
        <v>0</v>
      </c>
      <c r="AH73" s="124">
        <f t="shared" si="7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4"/>
        <v>0</v>
      </c>
      <c r="AX73" s="431">
        <f t="shared" si="8"/>
        <v>0</v>
      </c>
    </row>
    <row r="74" spans="1:50" ht="15">
      <c r="A74" s="18">
        <v>41</v>
      </c>
      <c r="B74" s="52" t="s">
        <v>135</v>
      </c>
      <c r="C74" s="148"/>
      <c r="D74" s="43"/>
      <c r="E74" s="174"/>
      <c r="F74" s="175"/>
      <c r="G74" s="176"/>
      <c r="H74" s="324">
        <f t="shared" si="9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3"/>
        <v>0</v>
      </c>
      <c r="AH74" s="124">
        <f t="shared" si="7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4"/>
        <v>0</v>
      </c>
      <c r="AX74" s="431">
        <f t="shared" si="8"/>
        <v>0</v>
      </c>
    </row>
    <row r="75" spans="1:50" ht="15">
      <c r="A75" s="18">
        <v>42</v>
      </c>
      <c r="B75" s="52" t="s">
        <v>171</v>
      </c>
      <c r="C75" s="148">
        <v>3122</v>
      </c>
      <c r="D75" s="43">
        <v>2422015</v>
      </c>
      <c r="E75" s="720" t="s">
        <v>172</v>
      </c>
      <c r="F75" s="721"/>
      <c r="G75" s="722"/>
      <c r="H75" s="324">
        <f t="shared" si="9"/>
        <v>2422015</v>
      </c>
      <c r="I75" s="254"/>
      <c r="J75" s="222"/>
      <c r="K75" s="254"/>
      <c r="L75" s="210"/>
      <c r="M75" s="210"/>
      <c r="N75" s="210">
        <v>1695411</v>
      </c>
      <c r="O75" s="212"/>
      <c r="P75" s="212"/>
      <c r="Q75" s="212">
        <v>726604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5">SUM(U75:AF75)</f>
        <v>0</v>
      </c>
      <c r="AH75" s="124">
        <f t="shared" si="7"/>
        <v>2422015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6">SUM(AK75:AV75)</f>
        <v>0</v>
      </c>
      <c r="AX75" s="431">
        <f t="shared" si="8"/>
        <v>0</v>
      </c>
    </row>
    <row r="76" spans="1:50" ht="15">
      <c r="A76" s="18">
        <v>43</v>
      </c>
      <c r="B76" s="52" t="s">
        <v>173</v>
      </c>
      <c r="C76" s="148">
        <v>3121</v>
      </c>
      <c r="D76" s="43">
        <v>4316250</v>
      </c>
      <c r="E76" s="720" t="s">
        <v>172</v>
      </c>
      <c r="F76" s="721"/>
      <c r="G76" s="722"/>
      <c r="H76" s="324">
        <f t="shared" si="9"/>
        <v>3021375</v>
      </c>
      <c r="I76" s="254"/>
      <c r="J76" s="222"/>
      <c r="K76" s="254"/>
      <c r="L76" s="210"/>
      <c r="M76" s="210"/>
      <c r="N76" s="210">
        <v>3021375</v>
      </c>
      <c r="O76" s="212"/>
      <c r="P76" s="212"/>
      <c r="Q76" s="212"/>
      <c r="R76" s="212"/>
      <c r="S76" s="212"/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5"/>
        <v>0</v>
      </c>
      <c r="AH76" s="124">
        <f t="shared" si="7"/>
        <v>3021375</v>
      </c>
      <c r="AI76" s="170">
        <f>+AH75+AH76</f>
        <v>5443390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6"/>
        <v>0</v>
      </c>
      <c r="AX76" s="431">
        <f t="shared" si="8"/>
        <v>0</v>
      </c>
    </row>
    <row r="77" spans="1:50" ht="15">
      <c r="A77" s="18">
        <v>44</v>
      </c>
      <c r="B77" s="52" t="s">
        <v>188</v>
      </c>
      <c r="C77" s="148"/>
      <c r="D77" s="43"/>
      <c r="E77" s="479"/>
      <c r="F77" s="480"/>
      <c r="G77" s="480"/>
      <c r="H77" s="324">
        <f t="shared" si="9"/>
        <v>0</v>
      </c>
      <c r="I77" s="254"/>
      <c r="J77" s="222"/>
      <c r="K77" s="254"/>
      <c r="L77" s="210"/>
      <c r="M77" s="210"/>
      <c r="N77" s="210"/>
      <c r="O77" s="212"/>
      <c r="P77" s="212"/>
      <c r="Q77" s="212"/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5"/>
        <v>0</v>
      </c>
      <c r="AH77" s="124">
        <f t="shared" si="7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6"/>
        <v>0</v>
      </c>
      <c r="AX77" s="431">
        <f t="shared" si="8"/>
        <v>0</v>
      </c>
    </row>
    <row r="78" spans="1:50" ht="15">
      <c r="A78" s="18">
        <v>45</v>
      </c>
      <c r="B78" s="52" t="s">
        <v>189</v>
      </c>
      <c r="C78" s="148"/>
      <c r="D78" s="43"/>
      <c r="E78" s="720" t="s">
        <v>172</v>
      </c>
      <c r="F78" s="721"/>
      <c r="G78" s="722"/>
      <c r="H78" s="324">
        <f t="shared" si="9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5"/>
        <v>0</v>
      </c>
      <c r="AH78" s="124">
        <f t="shared" si="7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6"/>
        <v>0</v>
      </c>
      <c r="AX78" s="431">
        <f>+AG78-AW78</f>
        <v>0</v>
      </c>
    </row>
    <row r="79" spans="1:50" ht="15">
      <c r="A79" s="18"/>
      <c r="B79" s="52" t="s">
        <v>205</v>
      </c>
      <c r="C79" s="148"/>
      <c r="D79" s="43"/>
      <c r="E79" s="479"/>
      <c r="F79" s="480"/>
      <c r="G79" s="480"/>
      <c r="H79" s="324">
        <f t="shared" si="9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5"/>
        <v>0</v>
      </c>
      <c r="AH79" s="124">
        <f t="shared" si="7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6"/>
        <v>0</v>
      </c>
      <c r="AX79" s="431">
        <f>+AG79-AW79</f>
        <v>0</v>
      </c>
    </row>
    <row r="80" spans="1:50" ht="15">
      <c r="A80" s="18">
        <v>46</v>
      </c>
      <c r="B80" s="52" t="s">
        <v>105</v>
      </c>
      <c r="C80" s="148">
        <v>1302</v>
      </c>
      <c r="D80" s="43">
        <v>23842795</v>
      </c>
      <c r="E80" s="174">
        <f>+D80*D31</f>
        <v>23842795</v>
      </c>
      <c r="F80" s="175"/>
      <c r="G80" s="176"/>
      <c r="H80" s="324">
        <f t="shared" si="9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5"/>
        <v>0</v>
      </c>
      <c r="AH80" s="124">
        <f t="shared" si="7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6"/>
        <v>0</v>
      </c>
      <c r="AX80" s="431">
        <f>+AG80-AW80</f>
        <v>0</v>
      </c>
    </row>
    <row r="81" spans="1:50" ht="15">
      <c r="A81" s="500"/>
      <c r="B81" s="52" t="s">
        <v>210</v>
      </c>
      <c r="C81" s="148" t="s">
        <v>211</v>
      </c>
      <c r="D81" s="43">
        <v>15426060</v>
      </c>
      <c r="E81" s="174">
        <f>+D81*1</f>
        <v>15426060</v>
      </c>
      <c r="F81" s="175"/>
      <c r="G81" s="176"/>
      <c r="H81" s="324">
        <f t="shared" si="9"/>
        <v>15426060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15426060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15426060</v>
      </c>
      <c r="AE81" s="210"/>
      <c r="AF81" s="210"/>
      <c r="AG81" s="219">
        <f t="shared" si="15"/>
        <v>15426060</v>
      </c>
      <c r="AH81" s="124">
        <f t="shared" si="7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>
        <v>12907356</v>
      </c>
      <c r="AV81" s="229"/>
      <c r="AW81" s="228">
        <f t="shared" si="16"/>
        <v>12907356</v>
      </c>
      <c r="AX81" s="431">
        <f>+AG81-AW81</f>
        <v>2518704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24">
        <f t="shared" si="9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5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6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267964976</v>
      </c>
      <c r="E83" s="86"/>
      <c r="F83" s="87"/>
      <c r="G83" s="88"/>
      <c r="H83" s="348">
        <f t="shared" ref="H83:AG83" si="17">SUM(H34:H82)</f>
        <v>268069218</v>
      </c>
      <c r="I83" s="255">
        <f t="shared" si="17"/>
        <v>0</v>
      </c>
      <c r="J83" s="256">
        <f t="shared" si="17"/>
        <v>0</v>
      </c>
      <c r="K83" s="256">
        <f t="shared" si="17"/>
        <v>84562772</v>
      </c>
      <c r="L83" s="256">
        <f t="shared" si="17"/>
        <v>37150477</v>
      </c>
      <c r="M83" s="256">
        <f t="shared" si="17"/>
        <v>24493072</v>
      </c>
      <c r="N83" s="256">
        <f t="shared" si="17"/>
        <v>8882434</v>
      </c>
      <c r="O83" s="256">
        <f t="shared" si="17"/>
        <v>0</v>
      </c>
      <c r="P83" s="256">
        <f t="shared" si="17"/>
        <v>20681713.399999999</v>
      </c>
      <c r="Q83" s="256">
        <f t="shared" si="17"/>
        <v>18774524</v>
      </c>
      <c r="R83" s="256">
        <f t="shared" si="17"/>
        <v>63627888.599999994</v>
      </c>
      <c r="S83" s="256">
        <f t="shared" si="17"/>
        <v>9896337.0000000037</v>
      </c>
      <c r="T83" s="256">
        <f t="shared" si="17"/>
        <v>0</v>
      </c>
      <c r="U83" s="241">
        <f t="shared" si="17"/>
        <v>0</v>
      </c>
      <c r="V83" s="241">
        <f t="shared" si="17"/>
        <v>0</v>
      </c>
      <c r="W83" s="241">
        <f t="shared" si="17"/>
        <v>84562772.399999991</v>
      </c>
      <c r="X83" s="241">
        <f t="shared" si="17"/>
        <v>37150477</v>
      </c>
      <c r="Y83" s="241">
        <f t="shared" si="17"/>
        <v>24493072</v>
      </c>
      <c r="Z83" s="241">
        <f t="shared" si="17"/>
        <v>4165648</v>
      </c>
      <c r="AA83" s="241">
        <f t="shared" si="17"/>
        <v>0</v>
      </c>
      <c r="AB83" s="241">
        <f t="shared" si="17"/>
        <v>18047919.399999999</v>
      </c>
      <c r="AC83" s="241">
        <f t="shared" si="17"/>
        <v>20681714</v>
      </c>
      <c r="AD83" s="241">
        <f t="shared" si="17"/>
        <v>47195377.599999994</v>
      </c>
      <c r="AE83" s="241">
        <f t="shared" si="17"/>
        <v>14099735.6</v>
      </c>
      <c r="AF83" s="241">
        <f t="shared" si="17"/>
        <v>796375.8</v>
      </c>
      <c r="AG83" s="241">
        <f t="shared" si="17"/>
        <v>251193091.80000001</v>
      </c>
      <c r="AH83" s="125">
        <f>+H83-AG83</f>
        <v>16876126.199999988</v>
      </c>
      <c r="AK83" s="425">
        <f t="shared" ref="AK83:AX83" si="18">SUM(AK34:AK82)</f>
        <v>0</v>
      </c>
      <c r="AL83" s="425">
        <f t="shared" si="18"/>
        <v>0</v>
      </c>
      <c r="AM83" s="425">
        <f t="shared" si="18"/>
        <v>0</v>
      </c>
      <c r="AN83" s="425">
        <f t="shared" si="18"/>
        <v>0</v>
      </c>
      <c r="AO83" s="425">
        <f t="shared" si="18"/>
        <v>0</v>
      </c>
      <c r="AP83" s="425">
        <f t="shared" si="18"/>
        <v>0</v>
      </c>
      <c r="AQ83" s="425">
        <f t="shared" si="18"/>
        <v>33206946</v>
      </c>
      <c r="AR83" s="425">
        <f t="shared" si="18"/>
        <v>15051456</v>
      </c>
      <c r="AS83" s="425">
        <f t="shared" si="18"/>
        <v>20828318</v>
      </c>
      <c r="AT83" s="425">
        <f t="shared" si="18"/>
        <v>0</v>
      </c>
      <c r="AU83" s="425">
        <f t="shared" si="18"/>
        <v>24798244</v>
      </c>
      <c r="AV83" s="438">
        <f t="shared" si="18"/>
        <v>18867930</v>
      </c>
      <c r="AW83" s="451">
        <f t="shared" si="18"/>
        <v>112752894</v>
      </c>
      <c r="AX83" s="429">
        <f t="shared" si="18"/>
        <v>138440197.80000001</v>
      </c>
    </row>
    <row r="84" spans="1:50" s="376" customFormat="1" ht="15.75" thickBot="1">
      <c r="D84" s="377"/>
      <c r="E84" s="378"/>
      <c r="F84" s="378"/>
      <c r="G84" s="378"/>
      <c r="H84" s="379"/>
      <c r="I84" s="379"/>
      <c r="J84" s="379"/>
      <c r="K84" s="379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3450699</v>
      </c>
      <c r="V84" s="396">
        <v>3450700</v>
      </c>
      <c r="W84" s="395">
        <v>3450701</v>
      </c>
      <c r="X84" s="396">
        <v>3450725</v>
      </c>
      <c r="Y84" s="395">
        <v>3458678</v>
      </c>
      <c r="Z84" s="396">
        <v>3467965</v>
      </c>
      <c r="AA84" s="395">
        <v>3481347</v>
      </c>
      <c r="AB84" s="396">
        <v>3491836</v>
      </c>
      <c r="AC84" s="395">
        <v>3510174</v>
      </c>
      <c r="AD84" s="396">
        <v>3513797</v>
      </c>
      <c r="AE84" s="395"/>
      <c r="AF84" s="395"/>
      <c r="AG84" s="379"/>
    </row>
    <row r="85" spans="1:50" ht="15.75" thickBot="1">
      <c r="A85" s="761" t="s">
        <v>94</v>
      </c>
      <c r="B85" s="762"/>
      <c r="C85" s="763"/>
      <c r="D85" s="133">
        <f>+D83+D30</f>
        <v>1355456420</v>
      </c>
      <c r="E85" s="127"/>
      <c r="F85" s="128"/>
      <c r="G85" s="128"/>
      <c r="H85" s="242">
        <f>+H30</f>
        <v>1166288781.1099999</v>
      </c>
      <c r="I85" s="215">
        <f t="shared" ref="I85:AH85" si="19">+I83+I30</f>
        <v>90624287</v>
      </c>
      <c r="J85" s="215">
        <f t="shared" si="19"/>
        <v>90638710</v>
      </c>
      <c r="K85" s="215">
        <f t="shared" si="19"/>
        <v>175426647.11000001</v>
      </c>
      <c r="L85" s="215">
        <f t="shared" si="19"/>
        <v>153039534</v>
      </c>
      <c r="M85" s="215">
        <f t="shared" si="19"/>
        <v>115202029</v>
      </c>
      <c r="N85" s="215">
        <f t="shared" si="19"/>
        <v>117149439</v>
      </c>
      <c r="O85" s="215">
        <f t="shared" si="19"/>
        <v>90708957</v>
      </c>
      <c r="P85" s="215">
        <f t="shared" si="19"/>
        <v>111390670.40000001</v>
      </c>
      <c r="Q85" s="215">
        <f t="shared" si="19"/>
        <v>127041529</v>
      </c>
      <c r="R85" s="215">
        <f t="shared" si="19"/>
        <v>154336845.59999999</v>
      </c>
      <c r="S85" s="215">
        <f t="shared" si="19"/>
        <v>100605294</v>
      </c>
      <c r="T85" s="257">
        <f t="shared" si="19"/>
        <v>108194057</v>
      </c>
      <c r="U85" s="242">
        <f t="shared" si="19"/>
        <v>90624287</v>
      </c>
      <c r="V85" s="215">
        <f t="shared" si="19"/>
        <v>90638710</v>
      </c>
      <c r="W85" s="285">
        <f t="shared" si="19"/>
        <v>175426647.39999998</v>
      </c>
      <c r="X85" s="242">
        <f t="shared" si="19"/>
        <v>153039534</v>
      </c>
      <c r="Y85" s="215">
        <f t="shared" si="19"/>
        <v>115202029</v>
      </c>
      <c r="Z85" s="285">
        <f t="shared" si="19"/>
        <v>112432653</v>
      </c>
      <c r="AA85" s="242">
        <f t="shared" si="19"/>
        <v>90708957</v>
      </c>
      <c r="AB85" s="215">
        <f t="shared" si="19"/>
        <v>108756876.40000001</v>
      </c>
      <c r="AC85" s="285">
        <f t="shared" si="19"/>
        <v>128948719</v>
      </c>
      <c r="AD85" s="242">
        <f t="shared" si="19"/>
        <v>137904334.59999999</v>
      </c>
      <c r="AE85" s="215">
        <f t="shared" si="19"/>
        <v>104808692.59999999</v>
      </c>
      <c r="AF85" s="285">
        <f t="shared" si="19"/>
        <v>108990432.8</v>
      </c>
      <c r="AG85" s="282">
        <f t="shared" si="19"/>
        <v>1417481872.8</v>
      </c>
      <c r="AH85" s="132">
        <f t="shared" si="19"/>
        <v>16876126.309999883</v>
      </c>
      <c r="AV85" s="6">
        <v>18867930</v>
      </c>
    </row>
    <row r="87" spans="1:50" ht="15" thickBot="1">
      <c r="D87" s="1"/>
      <c r="E87" s="1"/>
      <c r="F87" s="1"/>
      <c r="G87" s="1"/>
      <c r="AV87" s="473">
        <f>+AV85-AV83</f>
        <v>0</v>
      </c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356689644.39999998</v>
      </c>
    </row>
    <row r="90" spans="1:50">
      <c r="A90" s="276" t="s">
        <v>120</v>
      </c>
      <c r="B90" s="706" t="s">
        <v>124</v>
      </c>
      <c r="C90" s="707"/>
      <c r="D90" s="277">
        <f>+X85+Y85+Z85</f>
        <v>380674216</v>
      </c>
    </row>
    <row r="91" spans="1:50">
      <c r="A91" s="276" t="s">
        <v>121</v>
      </c>
      <c r="B91" s="706" t="s">
        <v>125</v>
      </c>
      <c r="C91" s="707"/>
      <c r="D91" s="277">
        <f>+AA85+AB85+AC85</f>
        <v>328414552.39999998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351703460</v>
      </c>
    </row>
    <row r="93" spans="1:50" ht="15.75" customHeight="1" thickBot="1">
      <c r="A93" s="756" t="s">
        <v>117</v>
      </c>
      <c r="B93" s="757"/>
      <c r="C93" s="757"/>
      <c r="D93" s="280">
        <f>SUM(D89:D92)</f>
        <v>1417481872.8</v>
      </c>
    </row>
    <row r="97" spans="2:5" ht="15">
      <c r="B97" s="509" t="s">
        <v>234</v>
      </c>
      <c r="E97" s="1"/>
    </row>
    <row r="98" spans="2:5">
      <c r="B98" s="700" t="s">
        <v>249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1" spans="2:5">
      <c r="B101" s="510"/>
      <c r="C101" s="510"/>
      <c r="D101" s="510"/>
      <c r="E101" s="510"/>
    </row>
    <row r="102" spans="2:5" ht="15">
      <c r="C102" s="508" t="s">
        <v>236</v>
      </c>
      <c r="D102" s="511">
        <v>2633794</v>
      </c>
    </row>
    <row r="103" spans="2:5">
      <c r="D103" s="6">
        <f>SUM(D102:D102)</f>
        <v>2633794</v>
      </c>
      <c r="E103" s="298"/>
    </row>
    <row r="104" spans="2:5"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16:H21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BA105"/>
  <sheetViews>
    <sheetView topLeftCell="A29" zoomScale="70" zoomScaleNormal="70" zoomScaleSheetLayoutView="50" workbookViewId="0">
      <selection activeCell="AF44" sqref="AF44"/>
    </sheetView>
  </sheetViews>
  <sheetFormatPr baseColWidth="10" defaultRowHeight="14.25"/>
  <cols>
    <col min="1" max="1" width="4.85546875" style="1" customWidth="1"/>
    <col min="2" max="2" width="38.85546875" style="1" bestFit="1" customWidth="1"/>
    <col min="3" max="3" width="40" style="1" customWidth="1"/>
    <col min="4" max="4" width="19.28515625" style="6" customWidth="1"/>
    <col min="5" max="5" width="21.28515625" style="4" customWidth="1"/>
    <col min="6" max="6" width="18.28515625" style="4" customWidth="1"/>
    <col min="7" max="7" width="22.42578125" style="4" customWidth="1"/>
    <col min="8" max="8" width="18.7109375" style="207" customWidth="1"/>
    <col min="9" max="9" width="16.7109375" style="207" hidden="1" customWidth="1"/>
    <col min="10" max="10" width="14" style="207" hidden="1" customWidth="1"/>
    <col min="11" max="11" width="15.7109375" style="207" hidden="1" customWidth="1"/>
    <col min="12" max="12" width="14.140625" style="207" hidden="1" customWidth="1"/>
    <col min="13" max="13" width="15.7109375" style="207" hidden="1" customWidth="1"/>
    <col min="14" max="14" width="18.7109375" style="207" hidden="1" customWidth="1"/>
    <col min="15" max="15" width="18.28515625" style="207" hidden="1" customWidth="1"/>
    <col min="16" max="16" width="22" style="207" hidden="1" customWidth="1"/>
    <col min="17" max="17" width="13.7109375" style="207" hidden="1" customWidth="1"/>
    <col min="18" max="18" width="18.85546875" style="207" hidden="1" customWidth="1"/>
    <col min="19" max="19" width="26.85546875" style="207" customWidth="1"/>
    <col min="20" max="20" width="25.85546875" style="207" customWidth="1"/>
    <col min="21" max="21" width="20.85546875" style="207" hidden="1" customWidth="1"/>
    <col min="22" max="22" width="23.7109375" style="207" hidden="1" customWidth="1"/>
    <col min="23" max="23" width="20.85546875" style="207" hidden="1" customWidth="1"/>
    <col min="24" max="25" width="19" style="207" hidden="1" customWidth="1"/>
    <col min="26" max="26" width="18.7109375" style="207" hidden="1" customWidth="1"/>
    <col min="27" max="27" width="18.28515625" style="207" hidden="1" customWidth="1"/>
    <col min="28" max="28" width="22" style="207" hidden="1" customWidth="1"/>
    <col min="29" max="29" width="28.42578125" style="207" hidden="1" customWidth="1"/>
    <col min="30" max="30" width="23.7109375" style="207" hidden="1" customWidth="1"/>
    <col min="31" max="31" width="26.85546875" style="207" customWidth="1"/>
    <col min="32" max="32" width="25.85546875" style="207" customWidth="1"/>
    <col min="33" max="33" width="17" style="207" customWidth="1"/>
    <col min="34" max="34" width="17.140625" style="1" customWidth="1"/>
    <col min="35" max="35" width="16.85546875" style="1" customWidth="1"/>
    <col min="36" max="36" width="11.42578125" style="1" customWidth="1"/>
    <col min="37" max="37" width="14" style="1" hidden="1" customWidth="1"/>
    <col min="38" max="40" width="12.5703125" style="1" hidden="1" customWidth="1"/>
    <col min="41" max="41" width="18.42578125" style="1" hidden="1" customWidth="1"/>
    <col min="42" max="43" width="11.42578125" style="1" hidden="1" customWidth="1"/>
    <col min="44" max="44" width="19.7109375" style="1" hidden="1" customWidth="1"/>
    <col min="45" max="45" width="24.28515625" style="1" hidden="1" customWidth="1"/>
    <col min="46" max="46" width="20.7109375" style="1" hidden="1" customWidth="1"/>
    <col min="47" max="47" width="26.855468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2" width="18.28515625" style="1" bestFit="1" customWidth="1"/>
    <col min="53" max="53" width="13.140625" style="1" bestFit="1" customWidth="1"/>
    <col min="54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64</v>
      </c>
    </row>
    <row r="11" spans="1:34">
      <c r="B11" s="3" t="s">
        <v>65</v>
      </c>
    </row>
    <row r="12" spans="1:34">
      <c r="B12" s="3" t="s">
        <v>70</v>
      </c>
    </row>
    <row r="13" spans="1:34" ht="15" thickBot="1">
      <c r="M13" s="207">
        <f>+M21-L21</f>
        <v>49612</v>
      </c>
    </row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74" t="s">
        <v>38</v>
      </c>
      <c r="I14" s="775"/>
      <c r="J14" s="775"/>
      <c r="K14" s="775"/>
      <c r="L14" s="775"/>
      <c r="M14" s="775"/>
      <c r="N14" s="785"/>
      <c r="O14" s="777"/>
      <c r="P14" s="777"/>
      <c r="Q14" s="777"/>
      <c r="R14" s="777"/>
      <c r="S14" s="777"/>
      <c r="T14" s="778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694903199*12</f>
        <v>8338838388</v>
      </c>
      <c r="E16" s="22"/>
      <c r="F16" s="23"/>
      <c r="G16" s="24"/>
      <c r="H16" s="322">
        <f>SUM(I16:T16)</f>
        <v>8338838388</v>
      </c>
      <c r="I16" s="250">
        <v>694903199</v>
      </c>
      <c r="J16" s="217">
        <v>694903199</v>
      </c>
      <c r="K16" s="217">
        <v>694903199</v>
      </c>
      <c r="L16" s="217">
        <v>694903199</v>
      </c>
      <c r="M16" s="212">
        <v>694903199</v>
      </c>
      <c r="N16" s="217">
        <v>694903199</v>
      </c>
      <c r="O16" s="212">
        <v>694903199</v>
      </c>
      <c r="P16" s="212">
        <v>694903199</v>
      </c>
      <c r="Q16" s="212">
        <v>694903199</v>
      </c>
      <c r="R16" s="212">
        <v>694903199</v>
      </c>
      <c r="S16" s="212">
        <v>694903199</v>
      </c>
      <c r="T16" s="248">
        <v>694903199</v>
      </c>
      <c r="U16" s="234">
        <v>694903199</v>
      </c>
      <c r="V16" s="217">
        <v>694903199</v>
      </c>
      <c r="W16" s="217">
        <v>694903199</v>
      </c>
      <c r="X16" s="217">
        <v>694903199</v>
      </c>
      <c r="Y16" s="209">
        <v>694903199</v>
      </c>
      <c r="Z16" s="217">
        <v>694903199</v>
      </c>
      <c r="AA16" s="209">
        <v>694903199</v>
      </c>
      <c r="AB16" s="209">
        <v>694903199</v>
      </c>
      <c r="AC16" s="209">
        <v>694903199</v>
      </c>
      <c r="AD16" s="209">
        <v>694903199</v>
      </c>
      <c r="AE16" s="209">
        <v>694903199</v>
      </c>
      <c r="AF16" s="225">
        <v>694903199</v>
      </c>
      <c r="AG16" s="226">
        <f>SUM(U16:AF16)</f>
        <v>8338838388</v>
      </c>
      <c r="AH16" s="123">
        <f t="shared" ref="AH16:AH30" si="0">+H16-AG16</f>
        <v>0</v>
      </c>
    </row>
    <row r="17" spans="1:48" ht="15" hidden="1">
      <c r="A17" s="11">
        <v>2</v>
      </c>
      <c r="B17" s="7" t="s">
        <v>27</v>
      </c>
      <c r="C17" s="147" t="s">
        <v>29</v>
      </c>
      <c r="D17" s="13"/>
      <c r="E17" s="15"/>
      <c r="F17" s="14"/>
      <c r="G17" s="16"/>
      <c r="H17" s="324">
        <f>SUM(I17:T17)</f>
        <v>0</v>
      </c>
      <c r="I17" s="252"/>
      <c r="J17" s="217">
        <v>0</v>
      </c>
      <c r="K17" s="206"/>
      <c r="L17" s="217">
        <v>0</v>
      </c>
      <c r="M17" s="206">
        <v>0</v>
      </c>
      <c r="N17" s="217">
        <v>0</v>
      </c>
      <c r="O17" s="206">
        <v>0</v>
      </c>
      <c r="P17" s="206">
        <v>0</v>
      </c>
      <c r="Q17" s="206">
        <v>0</v>
      </c>
      <c r="R17" s="206">
        <v>0</v>
      </c>
      <c r="S17" s="206">
        <v>0</v>
      </c>
      <c r="T17" s="227">
        <v>0</v>
      </c>
      <c r="U17" s="235"/>
      <c r="V17" s="217">
        <v>0</v>
      </c>
      <c r="W17" s="217">
        <v>0</v>
      </c>
      <c r="X17" s="217">
        <v>0</v>
      </c>
      <c r="Y17" s="206">
        <v>0</v>
      </c>
      <c r="Z17" s="217">
        <v>0</v>
      </c>
      <c r="AA17" s="206">
        <v>0</v>
      </c>
      <c r="AB17" s="206">
        <v>0</v>
      </c>
      <c r="AC17" s="206">
        <v>0</v>
      </c>
      <c r="AD17" s="206">
        <v>0</v>
      </c>
      <c r="AE17" s="206">
        <v>0</v>
      </c>
      <c r="AF17" s="227">
        <v>0</v>
      </c>
      <c r="AG17" s="228">
        <f t="shared" ref="AG17:AG28" si="1">SUM(U17:AF17)</f>
        <v>0</v>
      </c>
      <c r="AH17" s="124">
        <f t="shared" si="0"/>
        <v>0</v>
      </c>
    </row>
    <row r="18" spans="1:48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4">
        <f t="shared" ref="H18:H29" si="2">SUM(I18:T18)</f>
        <v>0</v>
      </c>
      <c r="I18" s="252"/>
      <c r="J18" s="217">
        <v>0</v>
      </c>
      <c r="K18" s="206"/>
      <c r="L18" s="217">
        <v>0</v>
      </c>
      <c r="M18" s="206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>
        <v>0</v>
      </c>
      <c r="U18" s="235"/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>
        <v>0</v>
      </c>
      <c r="AG18" s="228">
        <f t="shared" si="1"/>
        <v>0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-2514664*12</f>
        <v>-30175968</v>
      </c>
      <c r="E19" s="15"/>
      <c r="F19" s="14"/>
      <c r="G19" s="16"/>
      <c r="H19" s="324">
        <f t="shared" si="2"/>
        <v>-36883914</v>
      </c>
      <c r="I19" s="252">
        <v>-2514664</v>
      </c>
      <c r="J19" s="217">
        <v>-3211474</v>
      </c>
      <c r="K19" s="217">
        <v>-2863069</v>
      </c>
      <c r="L19" s="217">
        <v>-2863069</v>
      </c>
      <c r="M19" s="206">
        <v>-2863069</v>
      </c>
      <c r="N19" s="217">
        <v>-2863069</v>
      </c>
      <c r="O19" s="206">
        <v>-2863069</v>
      </c>
      <c r="P19" s="206">
        <v>-2863069</v>
      </c>
      <c r="Q19" s="206">
        <v>-2863069</v>
      </c>
      <c r="R19" s="206">
        <v>-3705431</v>
      </c>
      <c r="S19" s="206">
        <v>-3705431</v>
      </c>
      <c r="T19" s="227">
        <v>-3705431</v>
      </c>
      <c r="U19" s="235">
        <v>-2514664</v>
      </c>
      <c r="V19" s="217">
        <v>-3211474</v>
      </c>
      <c r="W19" s="217">
        <v>-2863069</v>
      </c>
      <c r="X19" s="217">
        <v>-2863069</v>
      </c>
      <c r="Y19" s="206">
        <v>-2863069</v>
      </c>
      <c r="Z19" s="217">
        <v>-2863069</v>
      </c>
      <c r="AA19" s="206">
        <v>-2863069</v>
      </c>
      <c r="AB19" s="206">
        <v>-2863069</v>
      </c>
      <c r="AC19" s="206">
        <v>-2863069</v>
      </c>
      <c r="AD19" s="206">
        <v>-3705431</v>
      </c>
      <c r="AE19" s="206">
        <v>-3705431</v>
      </c>
      <c r="AF19" s="227">
        <v>-3705431</v>
      </c>
      <c r="AG19" s="228">
        <f t="shared" si="1"/>
        <v>-36883914</v>
      </c>
      <c r="AH19" s="124">
        <f t="shared" si="0"/>
        <v>0</v>
      </c>
    </row>
    <row r="20" spans="1:48" ht="29.25" hidden="1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634263*12</f>
        <v>7611156</v>
      </c>
      <c r="E21" s="15"/>
      <c r="F21" s="14"/>
      <c r="G21" s="16"/>
      <c r="H21" s="324">
        <f t="shared" si="2"/>
        <v>7799467.7800000003</v>
      </c>
      <c r="I21" s="252">
        <v>634263</v>
      </c>
      <c r="J21" s="217">
        <v>469066</v>
      </c>
      <c r="K21" s="217">
        <v>652023.78</v>
      </c>
      <c r="L21" s="65">
        <v>652024</v>
      </c>
      <c r="M21" s="206">
        <v>701636</v>
      </c>
      <c r="N21" s="65">
        <v>670065</v>
      </c>
      <c r="O21" s="206">
        <v>670065</v>
      </c>
      <c r="P21" s="206">
        <v>670065</v>
      </c>
      <c r="Q21" s="206">
        <v>670065</v>
      </c>
      <c r="R21" s="206">
        <v>670065</v>
      </c>
      <c r="S21" s="206">
        <v>670065</v>
      </c>
      <c r="T21" s="227">
        <v>670065</v>
      </c>
      <c r="U21" s="235">
        <v>634263</v>
      </c>
      <c r="V21" s="217">
        <v>469066</v>
      </c>
      <c r="W21" s="217">
        <v>652024</v>
      </c>
      <c r="X21" s="65">
        <v>652024</v>
      </c>
      <c r="Y21" s="206">
        <v>701636</v>
      </c>
      <c r="Z21" s="65">
        <v>670065</v>
      </c>
      <c r="AA21" s="206">
        <v>670065</v>
      </c>
      <c r="AB21" s="206">
        <v>670065</v>
      </c>
      <c r="AC21" s="206">
        <v>670065</v>
      </c>
      <c r="AD21" s="206">
        <v>670065</v>
      </c>
      <c r="AE21" s="206">
        <v>670065</v>
      </c>
      <c r="AF21" s="227">
        <v>670065</v>
      </c>
      <c r="AG21" s="228">
        <f t="shared" si="1"/>
        <v>7799468</v>
      </c>
      <c r="AH21" s="124">
        <f t="shared" si="0"/>
        <v>-0.21999999973922968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304063477</v>
      </c>
      <c r="I22" s="252"/>
      <c r="J22" s="217"/>
      <c r="K22" s="217"/>
      <c r="L22" s="65">
        <v>76916717</v>
      </c>
      <c r="M22" s="206"/>
      <c r="N22" s="65">
        <v>76754683</v>
      </c>
      <c r="O22" s="206"/>
      <c r="P22" s="206"/>
      <c r="Q22" s="206">
        <v>75952344</v>
      </c>
      <c r="R22" s="206"/>
      <c r="S22" s="206"/>
      <c r="T22" s="227">
        <v>74439733</v>
      </c>
      <c r="U22" s="235"/>
      <c r="V22" s="217"/>
      <c r="W22" s="217"/>
      <c r="X22" s="65">
        <v>76916717</v>
      </c>
      <c r="Y22" s="206"/>
      <c r="Z22" s="65">
        <v>76754683</v>
      </c>
      <c r="AA22" s="206"/>
      <c r="AB22" s="206"/>
      <c r="AC22" s="206">
        <v>75952344</v>
      </c>
      <c r="AD22" s="206"/>
      <c r="AE22" s="206"/>
      <c r="AF22" s="227">
        <v>74439733</v>
      </c>
      <c r="AG22" s="228">
        <f>SUM(U22:AF22)</f>
        <v>304063477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351263171</v>
      </c>
      <c r="I23" s="252"/>
      <c r="J23" s="217"/>
      <c r="K23" s="217"/>
      <c r="L23" s="65">
        <v>88864926</v>
      </c>
      <c r="M23" s="206"/>
      <c r="N23" s="65">
        <v>88678060</v>
      </c>
      <c r="O23" s="206"/>
      <c r="P23" s="206"/>
      <c r="Q23" s="206">
        <v>87718026</v>
      </c>
      <c r="R23" s="206"/>
      <c r="S23" s="206"/>
      <c r="T23" s="227">
        <v>86002159</v>
      </c>
      <c r="U23" s="235"/>
      <c r="V23" s="217"/>
      <c r="W23" s="217"/>
      <c r="X23" s="65">
        <v>88864926</v>
      </c>
      <c r="Y23" s="206"/>
      <c r="Z23" s="65">
        <v>88678060</v>
      </c>
      <c r="AA23" s="206"/>
      <c r="AB23" s="206"/>
      <c r="AC23" s="206">
        <v>87718026</v>
      </c>
      <c r="AD23" s="206"/>
      <c r="AE23" s="206"/>
      <c r="AF23" s="227">
        <v>86002159</v>
      </c>
      <c r="AG23" s="228">
        <f>SUM(U23:AF23)</f>
        <v>351263171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1632973*12</f>
        <v>19595676</v>
      </c>
      <c r="E24" s="15"/>
      <c r="F24" s="14"/>
      <c r="G24" s="16"/>
      <c r="H24" s="324">
        <f t="shared" si="2"/>
        <v>19595676</v>
      </c>
      <c r="I24" s="252">
        <v>1632973</v>
      </c>
      <c r="J24" s="217">
        <v>1632973</v>
      </c>
      <c r="K24" s="217">
        <v>1632973</v>
      </c>
      <c r="L24" s="65">
        <v>1632973</v>
      </c>
      <c r="M24" s="206">
        <v>1632973</v>
      </c>
      <c r="N24" s="65">
        <v>1632973</v>
      </c>
      <c r="O24" s="206">
        <v>1632973</v>
      </c>
      <c r="P24" s="206">
        <v>1632973</v>
      </c>
      <c r="Q24" s="206">
        <v>1632973</v>
      </c>
      <c r="R24" s="206">
        <v>1632973</v>
      </c>
      <c r="S24" s="206">
        <v>1632973</v>
      </c>
      <c r="T24" s="227">
        <v>1632973</v>
      </c>
      <c r="U24" s="235">
        <v>1632973</v>
      </c>
      <c r="V24" s="217">
        <v>1632973</v>
      </c>
      <c r="W24" s="217">
        <v>1632973</v>
      </c>
      <c r="X24" s="65">
        <v>1632973</v>
      </c>
      <c r="Y24" s="206">
        <v>1632973</v>
      </c>
      <c r="Z24" s="65">
        <v>1632973</v>
      </c>
      <c r="AA24" s="206">
        <v>1632973</v>
      </c>
      <c r="AB24" s="206">
        <v>1632973</v>
      </c>
      <c r="AC24" s="206">
        <v>1632973</v>
      </c>
      <c r="AD24" s="206">
        <v>1632973</v>
      </c>
      <c r="AE24" s="206">
        <v>1632973</v>
      </c>
      <c r="AF24" s="227">
        <v>1632973</v>
      </c>
      <c r="AG24" s="228">
        <f t="shared" si="1"/>
        <v>19595676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>
        <f>2232309*12</f>
        <v>26787708</v>
      </c>
      <c r="E25" s="15"/>
      <c r="F25" s="14"/>
      <c r="G25" s="16"/>
      <c r="H25" s="324">
        <f t="shared" si="2"/>
        <v>26787707.774520002</v>
      </c>
      <c r="I25" s="252">
        <v>2232309</v>
      </c>
      <c r="J25" s="217">
        <v>2232309</v>
      </c>
      <c r="K25" s="217">
        <v>2232308.77452</v>
      </c>
      <c r="L25" s="65">
        <v>2232309</v>
      </c>
      <c r="M25" s="206">
        <v>2232309</v>
      </c>
      <c r="N25" s="65">
        <v>2232309</v>
      </c>
      <c r="O25" s="206">
        <v>2232309</v>
      </c>
      <c r="P25" s="206">
        <v>2232309</v>
      </c>
      <c r="Q25" s="206">
        <v>2232309</v>
      </c>
      <c r="R25" s="206">
        <v>2232309</v>
      </c>
      <c r="S25" s="206">
        <v>2232309</v>
      </c>
      <c r="T25" s="227">
        <v>2232309</v>
      </c>
      <c r="U25" s="235">
        <v>2232309</v>
      </c>
      <c r="V25" s="217">
        <v>2232309</v>
      </c>
      <c r="W25" s="217">
        <v>2232309</v>
      </c>
      <c r="X25" s="65">
        <v>2232309</v>
      </c>
      <c r="Y25" s="206">
        <v>2232309</v>
      </c>
      <c r="Z25" s="65">
        <v>2232309</v>
      </c>
      <c r="AA25" s="206">
        <v>2232309</v>
      </c>
      <c r="AB25" s="206">
        <v>2232309</v>
      </c>
      <c r="AC25" s="206">
        <v>2232309</v>
      </c>
      <c r="AD25" s="206">
        <v>2232309</v>
      </c>
      <c r="AE25" s="206">
        <v>2232309</v>
      </c>
      <c r="AF25" s="227">
        <v>2232309</v>
      </c>
      <c r="AG25" s="228">
        <f t="shared" si="1"/>
        <v>26787708</v>
      </c>
      <c r="AH25" s="124">
        <f t="shared" si="0"/>
        <v>-0.22547999769449234</v>
      </c>
    </row>
    <row r="26" spans="1:48" ht="15">
      <c r="A26" s="51">
        <v>9</v>
      </c>
      <c r="B26" s="52" t="s">
        <v>34</v>
      </c>
      <c r="C26" s="148" t="s">
        <v>29</v>
      </c>
      <c r="D26" s="13">
        <f>465616*12</f>
        <v>5587392</v>
      </c>
      <c r="E26" s="15"/>
      <c r="F26" s="14"/>
      <c r="G26" s="16"/>
      <c r="H26" s="324">
        <f t="shared" si="2"/>
        <v>5587392</v>
      </c>
      <c r="I26" s="252">
        <v>465616</v>
      </c>
      <c r="J26" s="217">
        <v>465616</v>
      </c>
      <c r="K26" s="217">
        <v>465616</v>
      </c>
      <c r="L26" s="65">
        <v>465616</v>
      </c>
      <c r="M26" s="206">
        <v>465616</v>
      </c>
      <c r="N26" s="65">
        <v>465616</v>
      </c>
      <c r="O26" s="206">
        <v>465616</v>
      </c>
      <c r="P26" s="206">
        <v>465616</v>
      </c>
      <c r="Q26" s="206">
        <v>465616</v>
      </c>
      <c r="R26" s="206">
        <v>465616</v>
      </c>
      <c r="S26" s="206">
        <v>465616</v>
      </c>
      <c r="T26" s="227">
        <v>465616</v>
      </c>
      <c r="U26" s="235">
        <v>465616</v>
      </c>
      <c r="V26" s="217">
        <v>465616</v>
      </c>
      <c r="W26" s="217">
        <v>465616</v>
      </c>
      <c r="X26" s="65">
        <v>465616</v>
      </c>
      <c r="Y26" s="206">
        <v>465616</v>
      </c>
      <c r="Z26" s="65">
        <v>465616</v>
      </c>
      <c r="AA26" s="206">
        <v>465616</v>
      </c>
      <c r="AB26" s="206">
        <v>465616</v>
      </c>
      <c r="AC26" s="206">
        <v>465616</v>
      </c>
      <c r="AD26" s="206">
        <v>465616</v>
      </c>
      <c r="AE26" s="206">
        <v>465616</v>
      </c>
      <c r="AF26" s="227">
        <v>465616</v>
      </c>
      <c r="AG26" s="228">
        <f t="shared" si="1"/>
        <v>5587392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60650062</v>
      </c>
      <c r="I27" s="252"/>
      <c r="J27" s="217"/>
      <c r="K27" s="217"/>
      <c r="L27" s="65"/>
      <c r="M27" s="206"/>
      <c r="N27" s="65"/>
      <c r="O27" s="206"/>
      <c r="P27" s="206"/>
      <c r="Q27" s="206">
        <v>60650062</v>
      </c>
      <c r="R27" s="206"/>
      <c r="S27" s="206"/>
      <c r="T27" s="227"/>
      <c r="U27" s="235"/>
      <c r="V27" s="217"/>
      <c r="W27" s="217"/>
      <c r="X27" s="65"/>
      <c r="Y27" s="206"/>
      <c r="Z27" s="65"/>
      <c r="AA27" s="206"/>
      <c r="AB27" s="206"/>
      <c r="AC27" s="65">
        <v>60650062</v>
      </c>
      <c r="AD27" s="206"/>
      <c r="AE27" s="206"/>
      <c r="AF27" s="227"/>
      <c r="AG27" s="228">
        <f t="shared" si="1"/>
        <v>60650062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57893242</v>
      </c>
      <c r="I28" s="252"/>
      <c r="J28" s="217"/>
      <c r="K28" s="217"/>
      <c r="L28" s="65"/>
      <c r="M28" s="206"/>
      <c r="N28" s="65"/>
      <c r="O28" s="206"/>
      <c r="P28" s="206"/>
      <c r="Q28" s="206">
        <v>57893242</v>
      </c>
      <c r="R28" s="206"/>
      <c r="S28" s="206"/>
      <c r="T28" s="227"/>
      <c r="U28" s="235"/>
      <c r="V28" s="217"/>
      <c r="W28" s="217"/>
      <c r="X28" s="65"/>
      <c r="Y28" s="206"/>
      <c r="Z28" s="65"/>
      <c r="AA28" s="206"/>
      <c r="AB28" s="206"/>
      <c r="AC28" s="65">
        <v>57893242</v>
      </c>
      <c r="AD28" s="206"/>
      <c r="AE28" s="206"/>
      <c r="AF28" s="227"/>
      <c r="AG28" s="228">
        <f t="shared" si="1"/>
        <v>57893242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24">
        <f t="shared" si="2"/>
        <v>40918283.061354294</v>
      </c>
      <c r="I29" s="252"/>
      <c r="J29" s="217"/>
      <c r="K29" s="217"/>
      <c r="L29" s="65"/>
      <c r="M29" s="206"/>
      <c r="N29" s="65"/>
      <c r="O29" s="206"/>
      <c r="P29" s="206"/>
      <c r="Q29" s="206"/>
      <c r="R29" s="206"/>
      <c r="S29" s="206">
        <v>40918283.061354294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65"/>
      <c r="AD29" s="206"/>
      <c r="AE29" s="206">
        <v>40918283.061354294</v>
      </c>
      <c r="AF29" s="227"/>
      <c r="AG29" s="228">
        <f>SUM(U29:AF29)</f>
        <v>40918283.061354294</v>
      </c>
      <c r="AH29" s="124">
        <f>+H29-AG29</f>
        <v>0</v>
      </c>
    </row>
    <row r="30" spans="1:48" ht="15.75" thickBot="1">
      <c r="A30" s="794" t="s">
        <v>36</v>
      </c>
      <c r="B30" s="795"/>
      <c r="C30" s="94"/>
      <c r="D30" s="95">
        <f>SUM(D16:D26)</f>
        <v>8368244352</v>
      </c>
      <c r="E30" s="96"/>
      <c r="F30" s="97"/>
      <c r="G30" s="98"/>
      <c r="H30" s="323">
        <f>SUM(H16:H28)</f>
        <v>9135594669.5545197</v>
      </c>
      <c r="I30" s="313">
        <f>SUM(I16:I28)</f>
        <v>697353696</v>
      </c>
      <c r="J30" s="313">
        <f t="shared" ref="J30:O30" si="3">SUM(J16:J28)</f>
        <v>696491689</v>
      </c>
      <c r="K30" s="313">
        <f t="shared" si="3"/>
        <v>697023051.55452001</v>
      </c>
      <c r="L30" s="313">
        <f t="shared" si="3"/>
        <v>862804695</v>
      </c>
      <c r="M30" s="313">
        <f t="shared" si="3"/>
        <v>697072664</v>
      </c>
      <c r="N30" s="313">
        <f t="shared" si="3"/>
        <v>862473836</v>
      </c>
      <c r="O30" s="313">
        <f t="shared" si="3"/>
        <v>697041093</v>
      </c>
      <c r="P30" s="313">
        <f t="shared" ref="P30:AF30" si="4">SUM(P16:P28)</f>
        <v>697041093</v>
      </c>
      <c r="Q30" s="313">
        <f t="shared" si="4"/>
        <v>979254767</v>
      </c>
      <c r="R30" s="313">
        <f t="shared" si="4"/>
        <v>696198731</v>
      </c>
      <c r="S30" s="313">
        <f t="shared" si="4"/>
        <v>696198731</v>
      </c>
      <c r="T30" s="313">
        <f t="shared" si="4"/>
        <v>856640623</v>
      </c>
      <c r="U30" s="245">
        <f t="shared" si="4"/>
        <v>697353696</v>
      </c>
      <c r="V30" s="245">
        <f t="shared" si="4"/>
        <v>696491689</v>
      </c>
      <c r="W30" s="245">
        <f t="shared" si="4"/>
        <v>697023052</v>
      </c>
      <c r="X30" s="245">
        <f t="shared" si="4"/>
        <v>862804695</v>
      </c>
      <c r="Y30" s="245">
        <f t="shared" si="4"/>
        <v>697072664</v>
      </c>
      <c r="Z30" s="245">
        <f t="shared" si="4"/>
        <v>862473836</v>
      </c>
      <c r="AA30" s="245">
        <f t="shared" si="4"/>
        <v>697041093</v>
      </c>
      <c r="AB30" s="245">
        <f t="shared" si="4"/>
        <v>697041093</v>
      </c>
      <c r="AC30" s="245">
        <f t="shared" si="4"/>
        <v>979254767</v>
      </c>
      <c r="AD30" s="245">
        <f t="shared" si="4"/>
        <v>696198731</v>
      </c>
      <c r="AE30" s="245">
        <f t="shared" si="4"/>
        <v>696198731</v>
      </c>
      <c r="AF30" s="245">
        <f t="shared" si="4"/>
        <v>856640623</v>
      </c>
      <c r="AG30" s="337">
        <f>SUM(U30:AF30)</f>
        <v>9135594670</v>
      </c>
      <c r="AH30" s="120">
        <f t="shared" si="0"/>
        <v>-0.4454803466796875</v>
      </c>
    </row>
    <row r="31" spans="1:48" ht="15" thickBot="1">
      <c r="B31" s="149"/>
      <c r="C31" s="170"/>
      <c r="D31" s="300">
        <v>17563189</v>
      </c>
      <c r="E31" s="5">
        <v>0.7</v>
      </c>
      <c r="F31" s="5">
        <v>0.3</v>
      </c>
      <c r="G31" s="5">
        <v>8.3333333333333329E-2</v>
      </c>
      <c r="H31" s="149">
        <f>100%/3</f>
        <v>0.33333333333333331</v>
      </c>
      <c r="K31" s="381"/>
      <c r="AU31" s="6">
        <v>64575053</v>
      </c>
      <c r="AV31" s="6">
        <v>12173473</v>
      </c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74" t="s">
        <v>38</v>
      </c>
      <c r="I32" s="775"/>
      <c r="J32" s="775"/>
      <c r="K32" s="775"/>
      <c r="L32" s="775"/>
      <c r="M32" s="775"/>
      <c r="N32" s="776"/>
      <c r="O32" s="777"/>
      <c r="P32" s="777"/>
      <c r="Q32" s="777"/>
      <c r="R32" s="777"/>
      <c r="S32" s="777"/>
      <c r="T32" s="778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2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7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2" ht="15.75" thickBot="1">
      <c r="A34" s="573">
        <v>1</v>
      </c>
      <c r="B34" s="608" t="s">
        <v>99</v>
      </c>
      <c r="C34" s="615">
        <v>1394</v>
      </c>
      <c r="D34" s="610">
        <v>1816723</v>
      </c>
      <c r="E34" s="611">
        <f>+D34*E31</f>
        <v>1271706.0999999999</v>
      </c>
      <c r="F34" s="612">
        <f>+D34*F31</f>
        <v>545016.9</v>
      </c>
      <c r="G34" s="613"/>
      <c r="H34" s="334">
        <f>SUM(I34:T34)</f>
        <v>1816723</v>
      </c>
      <c r="I34" s="331"/>
      <c r="J34" s="249"/>
      <c r="K34" s="302">
        <v>1271706.0999999999</v>
      </c>
      <c r="L34" s="212"/>
      <c r="M34" s="212"/>
      <c r="N34" s="212"/>
      <c r="O34" s="212"/>
      <c r="P34" s="212"/>
      <c r="Q34" s="212"/>
      <c r="R34" s="212">
        <v>545016.9</v>
      </c>
      <c r="S34" s="212"/>
      <c r="T34" s="248"/>
      <c r="U34" s="234"/>
      <c r="V34" s="220"/>
      <c r="W34" s="209">
        <v>1271706.0999999999</v>
      </c>
      <c r="X34" s="209"/>
      <c r="Y34" s="209"/>
      <c r="Z34" s="209"/>
      <c r="AA34" s="209"/>
      <c r="AB34" s="209"/>
      <c r="AC34" s="209"/>
      <c r="AD34" s="209">
        <v>545016.9</v>
      </c>
      <c r="AE34" s="209"/>
      <c r="AF34" s="209"/>
      <c r="AG34" s="218">
        <f>SUM(U34:AF34)</f>
        <v>1816723</v>
      </c>
      <c r="AH34" s="123">
        <f t="shared" ref="AH34:AH82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1816723</v>
      </c>
    </row>
    <row r="35" spans="1:52" ht="15">
      <c r="A35" s="573">
        <v>2</v>
      </c>
      <c r="B35" s="608" t="s">
        <v>100</v>
      </c>
      <c r="C35" s="615">
        <v>1394</v>
      </c>
      <c r="D35" s="610">
        <v>80955336</v>
      </c>
      <c r="E35" s="583">
        <f>+D35*E31</f>
        <v>56668735.199999996</v>
      </c>
      <c r="F35" s="584">
        <f>+D35*F31</f>
        <v>24286600.800000001</v>
      </c>
      <c r="G35" s="614"/>
      <c r="H35" s="324">
        <f>SUM(I35:T35)</f>
        <v>80955336</v>
      </c>
      <c r="I35" s="250"/>
      <c r="J35" s="251"/>
      <c r="K35" s="302">
        <v>56668735.199999996</v>
      </c>
      <c r="L35" s="212"/>
      <c r="M35" s="212"/>
      <c r="N35" s="212"/>
      <c r="O35" s="212"/>
      <c r="P35" s="212"/>
      <c r="Q35" s="212"/>
      <c r="R35" s="212">
        <v>24286600.800000001</v>
      </c>
      <c r="S35" s="212"/>
      <c r="T35" s="248"/>
      <c r="U35" s="237"/>
      <c r="V35" s="217"/>
      <c r="W35" s="212">
        <v>56668735.199999996</v>
      </c>
      <c r="X35" s="212"/>
      <c r="Y35" s="212"/>
      <c r="Z35" s="212"/>
      <c r="AA35" s="212"/>
      <c r="AB35" s="212"/>
      <c r="AC35" s="212"/>
      <c r="AD35" s="212">
        <v>24286600.800000001</v>
      </c>
      <c r="AE35" s="212"/>
      <c r="AF35" s="212"/>
      <c r="AG35" s="218">
        <f>SUM(U35:AF35)</f>
        <v>80955336</v>
      </c>
      <c r="AH35" s="123">
        <f t="shared" si="5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1">
        <f t="shared" ref="AX35:AX77" si="6">+AG35-AW35</f>
        <v>80955336</v>
      </c>
    </row>
    <row r="36" spans="1:52" ht="15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7">SUM(I36:T36)</f>
        <v>0</v>
      </c>
      <c r="I36" s="252"/>
      <c r="J36" s="251"/>
      <c r="K36" s="303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1">
        <f t="shared" si="6"/>
        <v>0</v>
      </c>
    </row>
    <row r="37" spans="1:52" ht="15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303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8"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9">SUM(AK37:AV37)</f>
        <v>0</v>
      </c>
      <c r="AX37" s="431">
        <f t="shared" si="6"/>
        <v>0</v>
      </c>
    </row>
    <row r="38" spans="1:52" ht="15">
      <c r="A38" s="573">
        <v>5</v>
      </c>
      <c r="B38" s="575" t="s">
        <v>101</v>
      </c>
      <c r="C38" s="576">
        <v>1865</v>
      </c>
      <c r="D38" s="577">
        <v>161329007</v>
      </c>
      <c r="E38" s="578">
        <f>+D38*E31</f>
        <v>112930304.89999999</v>
      </c>
      <c r="F38" s="579">
        <f>+D38*F31</f>
        <v>48398702.100000001</v>
      </c>
      <c r="G38" s="580"/>
      <c r="H38" s="324">
        <f t="shared" si="7"/>
        <v>161329007</v>
      </c>
      <c r="I38" s="252"/>
      <c r="J38" s="251"/>
      <c r="K38" s="303">
        <v>113055342.69043609</v>
      </c>
      <c r="L38" s="206"/>
      <c r="M38" s="206">
        <v>-125037.79043610394</v>
      </c>
      <c r="N38" s="206"/>
      <c r="O38" s="212"/>
      <c r="P38" s="212"/>
      <c r="Q38" s="212"/>
      <c r="R38" s="212">
        <v>48398702.100000001</v>
      </c>
      <c r="S38" s="212"/>
      <c r="T38" s="248"/>
      <c r="U38" s="235"/>
      <c r="V38" s="217"/>
      <c r="W38" s="252">
        <v>113055342.69043609</v>
      </c>
      <c r="X38" s="206"/>
      <c r="Y38" s="206">
        <v>-125037.79043610394</v>
      </c>
      <c r="Z38" s="206"/>
      <c r="AA38" s="206"/>
      <c r="AB38" s="206"/>
      <c r="AC38" s="206"/>
      <c r="AD38" s="206">
        <v>48398702.100000001</v>
      </c>
      <c r="AE38" s="206"/>
      <c r="AF38" s="206"/>
      <c r="AG38" s="219">
        <f t="shared" si="8"/>
        <v>161329007</v>
      </c>
      <c r="AH38" s="124">
        <f t="shared" si="5"/>
        <v>0</v>
      </c>
      <c r="AK38" s="235"/>
      <c r="AL38" s="217"/>
      <c r="AM38" s="252"/>
      <c r="AN38" s="206"/>
      <c r="AO38" s="206"/>
      <c r="AP38" s="206"/>
      <c r="AQ38" s="206"/>
      <c r="AR38" s="206"/>
      <c r="AS38" s="206"/>
      <c r="AT38" s="206"/>
      <c r="AU38" s="206">
        <f>+AU31*AZ38</f>
        <v>57673686.978899665</v>
      </c>
      <c r="AV38" s="227">
        <f>+AV31*AZ38</f>
        <v>10872450.561489848</v>
      </c>
      <c r="AW38" s="228">
        <f t="shared" si="9"/>
        <v>68546137.540389508</v>
      </c>
      <c r="AX38" s="431">
        <f t="shared" si="6"/>
        <v>92782869.459610492</v>
      </c>
      <c r="AY38" s="170">
        <f>+AX38+AX39</f>
        <v>103885481</v>
      </c>
      <c r="AZ38" s="149">
        <v>0.89312643659618318</v>
      </c>
    </row>
    <row r="39" spans="1:52" ht="15">
      <c r="A39" s="573">
        <v>6</v>
      </c>
      <c r="B39" s="575" t="s">
        <v>102</v>
      </c>
      <c r="C39" s="576">
        <v>1865</v>
      </c>
      <c r="D39" s="577">
        <v>19305000</v>
      </c>
      <c r="E39" s="578">
        <f>+D39*E31</f>
        <v>13513500</v>
      </c>
      <c r="F39" s="579">
        <f>+D39*F31</f>
        <v>5791500</v>
      </c>
      <c r="G39" s="580"/>
      <c r="H39" s="324">
        <f t="shared" si="7"/>
        <v>19305000</v>
      </c>
      <c r="I39" s="252"/>
      <c r="J39" s="251"/>
      <c r="K39" s="303">
        <v>13528462.309563892</v>
      </c>
      <c r="L39" s="206"/>
      <c r="M39" s="206">
        <v>-14962.309563891962</v>
      </c>
      <c r="N39" s="206"/>
      <c r="O39" s="212"/>
      <c r="P39" s="212"/>
      <c r="Q39" s="212"/>
      <c r="R39" s="212">
        <v>5791500</v>
      </c>
      <c r="S39" s="212"/>
      <c r="T39" s="248"/>
      <c r="U39" s="235"/>
      <c r="V39" s="217"/>
      <c r="W39" s="252">
        <v>13528462.309563892</v>
      </c>
      <c r="X39" s="206"/>
      <c r="Y39" s="206">
        <v>-14962.309563891962</v>
      </c>
      <c r="Z39" s="206"/>
      <c r="AA39" s="206"/>
      <c r="AB39" s="206"/>
      <c r="AC39" s="206"/>
      <c r="AD39" s="206">
        <v>5791500</v>
      </c>
      <c r="AE39" s="206"/>
      <c r="AF39" s="206"/>
      <c r="AG39" s="219">
        <f t="shared" si="8"/>
        <v>19305000</v>
      </c>
      <c r="AH39" s="124">
        <f t="shared" si="5"/>
        <v>0</v>
      </c>
      <c r="AK39" s="235"/>
      <c r="AL39" s="217"/>
      <c r="AM39" s="252"/>
      <c r="AN39" s="206"/>
      <c r="AO39" s="206"/>
      <c r="AP39" s="206"/>
      <c r="AQ39" s="206"/>
      <c r="AR39" s="206"/>
      <c r="AS39" s="206"/>
      <c r="AT39" s="206"/>
      <c r="AU39" s="206">
        <f>+AU31*AZ39</f>
        <v>6901366.0211003348</v>
      </c>
      <c r="AV39" s="227">
        <f>+AV31*AZ39</f>
        <v>1301022.4385101527</v>
      </c>
      <c r="AW39" s="228">
        <f t="shared" si="9"/>
        <v>8202388.4596104873</v>
      </c>
      <c r="AX39" s="431">
        <f t="shared" si="6"/>
        <v>11102611.540389512</v>
      </c>
      <c r="AY39" s="149">
        <v>1</v>
      </c>
      <c r="AZ39" s="149">
        <v>0.10687356340381687</v>
      </c>
    </row>
    <row r="40" spans="1:52" ht="15">
      <c r="A40" s="18">
        <v>7</v>
      </c>
      <c r="B40" s="7" t="s">
        <v>112</v>
      </c>
      <c r="C40" s="147"/>
      <c r="D40" s="301"/>
      <c r="E40" s="171"/>
      <c r="F40" s="172"/>
      <c r="G40" s="343"/>
      <c r="H40" s="324">
        <f t="shared" si="7"/>
        <v>0</v>
      </c>
      <c r="I40" s="252"/>
      <c r="J40" s="251"/>
      <c r="K40" s="303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1">
        <f t="shared" si="6"/>
        <v>0</v>
      </c>
    </row>
    <row r="41" spans="1:52" ht="15">
      <c r="A41" s="573">
        <v>8</v>
      </c>
      <c r="B41" s="575" t="s">
        <v>76</v>
      </c>
      <c r="C41" s="576" t="s">
        <v>111</v>
      </c>
      <c r="D41" s="577">
        <f>30491110+31004910</f>
        <v>61496020</v>
      </c>
      <c r="E41" s="578">
        <f>+D41*E31</f>
        <v>43047214</v>
      </c>
      <c r="F41" s="579">
        <f>+D41*F31</f>
        <v>18448806</v>
      </c>
      <c r="G41" s="580"/>
      <c r="H41" s="324">
        <f t="shared" si="7"/>
        <v>61496020</v>
      </c>
      <c r="I41" s="252"/>
      <c r="J41" s="251"/>
      <c r="K41" s="303">
        <v>21703437</v>
      </c>
      <c r="L41" s="206">
        <v>21343777</v>
      </c>
      <c r="M41" s="206"/>
      <c r="N41" s="206"/>
      <c r="O41" s="212"/>
      <c r="P41" s="212"/>
      <c r="Q41" s="212"/>
      <c r="R41" s="212">
        <v>18448806</v>
      </c>
      <c r="S41" s="212"/>
      <c r="T41" s="248"/>
      <c r="U41" s="235"/>
      <c r="V41" s="217"/>
      <c r="W41" s="206">
        <v>21703437</v>
      </c>
      <c r="X41" s="206">
        <v>21343777</v>
      </c>
      <c r="Y41" s="206"/>
      <c r="Z41" s="206"/>
      <c r="AA41" s="206"/>
      <c r="AB41" s="206"/>
      <c r="AC41" s="206"/>
      <c r="AD41" s="206">
        <v>18448806</v>
      </c>
      <c r="AE41" s="206"/>
      <c r="AF41" s="206"/>
      <c r="AG41" s="219">
        <f t="shared" si="8"/>
        <v>61496020</v>
      </c>
      <c r="AH41" s="124">
        <f t="shared" si="5"/>
        <v>0</v>
      </c>
      <c r="AK41" s="235">
        <v>0</v>
      </c>
      <c r="AL41" s="217">
        <v>0</v>
      </c>
      <c r="AM41" s="206">
        <v>0</v>
      </c>
      <c r="AN41" s="206">
        <v>0</v>
      </c>
      <c r="AO41" s="206">
        <v>0</v>
      </c>
      <c r="AP41" s="206">
        <v>9403888</v>
      </c>
      <c r="AQ41" s="206">
        <v>2182064</v>
      </c>
      <c r="AR41" s="206">
        <v>2182072</v>
      </c>
      <c r="AS41" s="206"/>
      <c r="AT41" s="206">
        <v>24749858</v>
      </c>
      <c r="AU41" s="206">
        <v>5886123</v>
      </c>
      <c r="AV41" s="227">
        <v>6343355</v>
      </c>
      <c r="AW41" s="228">
        <f t="shared" si="9"/>
        <v>50747360</v>
      </c>
      <c r="AX41" s="431">
        <f t="shared" si="6"/>
        <v>10748660</v>
      </c>
    </row>
    <row r="42" spans="1:52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303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6"/>
        <v>0</v>
      </c>
    </row>
    <row r="43" spans="1:52" ht="15">
      <c r="A43" s="18">
        <v>10</v>
      </c>
      <c r="B43" s="7" t="s">
        <v>104</v>
      </c>
      <c r="C43" s="147"/>
      <c r="D43" s="13"/>
      <c r="E43" s="142"/>
      <c r="F43" s="143"/>
      <c r="G43" s="160"/>
      <c r="H43" s="324">
        <f t="shared" si="7"/>
        <v>0</v>
      </c>
      <c r="I43" s="252"/>
      <c r="J43" s="251"/>
      <c r="K43" s="303"/>
      <c r="L43" s="206"/>
      <c r="M43" s="206"/>
      <c r="N43" s="206"/>
      <c r="O43" s="212"/>
      <c r="P43" s="212"/>
      <c r="Q43" s="212"/>
      <c r="R43" s="212"/>
      <c r="S43" s="212"/>
      <c r="T43" s="248"/>
      <c r="U43" s="235"/>
      <c r="V43" s="217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19">
        <f t="shared" si="8"/>
        <v>0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9"/>
        <v>0</v>
      </c>
      <c r="AX43" s="431">
        <f t="shared" si="6"/>
        <v>0</v>
      </c>
    </row>
    <row r="44" spans="1:52" ht="15">
      <c r="A44" s="573">
        <v>11</v>
      </c>
      <c r="B44" s="575" t="s">
        <v>78</v>
      </c>
      <c r="C44" s="576">
        <v>2317</v>
      </c>
      <c r="D44" s="577">
        <v>44240968</v>
      </c>
      <c r="E44" s="578">
        <f>+D44*E31</f>
        <v>30968677.599999998</v>
      </c>
      <c r="F44" s="579">
        <f>+D44*F31</f>
        <v>13272290.4</v>
      </c>
      <c r="G44" s="580"/>
      <c r="H44" s="324">
        <f t="shared" si="7"/>
        <v>44240968</v>
      </c>
      <c r="I44" s="252"/>
      <c r="J44" s="221"/>
      <c r="K44" s="303"/>
      <c r="L44" s="206"/>
      <c r="M44" s="206">
        <v>30968677.599999998</v>
      </c>
      <c r="N44" s="206"/>
      <c r="O44" s="212"/>
      <c r="P44" s="212"/>
      <c r="Q44" s="212"/>
      <c r="R44" s="212"/>
      <c r="S44" s="212"/>
      <c r="T44" s="248">
        <v>13272290.4</v>
      </c>
      <c r="U44" s="235"/>
      <c r="V44" s="217"/>
      <c r="W44" s="206"/>
      <c r="X44" s="206"/>
      <c r="Y44" s="206">
        <v>30968677.599999998</v>
      </c>
      <c r="Z44" s="206"/>
      <c r="AA44" s="206"/>
      <c r="AB44" s="206"/>
      <c r="AC44" s="206"/>
      <c r="AD44" s="206"/>
      <c r="AE44" s="206"/>
      <c r="AF44" s="206">
        <v>13272290.4</v>
      </c>
      <c r="AG44" s="219">
        <f t="shared" si="8"/>
        <v>44240968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1">
        <f t="shared" si="6"/>
        <v>44240968</v>
      </c>
    </row>
    <row r="45" spans="1:52" s="190" customFormat="1" ht="28.5">
      <c r="A45" s="573">
        <v>12</v>
      </c>
      <c r="B45" s="618" t="s">
        <v>79</v>
      </c>
      <c r="C45" s="603">
        <v>1979</v>
      </c>
      <c r="D45" s="597">
        <v>83764971</v>
      </c>
      <c r="E45" s="598">
        <f>+D45*E31</f>
        <v>58635479.699999996</v>
      </c>
      <c r="F45" s="599">
        <f>+D45*F31</f>
        <v>25129491.300000001</v>
      </c>
      <c r="G45" s="600"/>
      <c r="H45" s="324">
        <f t="shared" si="7"/>
        <v>83764971</v>
      </c>
      <c r="I45" s="253"/>
      <c r="J45" s="232"/>
      <c r="K45" s="304">
        <v>58635480</v>
      </c>
      <c r="L45" s="231"/>
      <c r="M45" s="231"/>
      <c r="N45" s="231"/>
      <c r="O45" s="212"/>
      <c r="P45" s="212"/>
      <c r="Q45" s="212"/>
      <c r="R45" s="212">
        <v>25129491</v>
      </c>
      <c r="S45" s="212"/>
      <c r="T45" s="248"/>
      <c r="U45" s="238"/>
      <c r="V45" s="230"/>
      <c r="W45" s="231">
        <v>58635480</v>
      </c>
      <c r="X45" s="231"/>
      <c r="Y45" s="231"/>
      <c r="Z45" s="231"/>
      <c r="AA45" s="231"/>
      <c r="AB45" s="231"/>
      <c r="AC45" s="231"/>
      <c r="AD45" s="231">
        <v>25129491</v>
      </c>
      <c r="AE45" s="231"/>
      <c r="AF45" s="231"/>
      <c r="AG45" s="219">
        <f t="shared" si="8"/>
        <v>83764971</v>
      </c>
      <c r="AH45" s="124">
        <f t="shared" si="5"/>
        <v>0</v>
      </c>
      <c r="AK45" s="238"/>
      <c r="AL45" s="230"/>
      <c r="AM45" s="231"/>
      <c r="AN45" s="231"/>
      <c r="AO45" s="231"/>
      <c r="AP45" s="231"/>
      <c r="AQ45" s="231">
        <v>1157459</v>
      </c>
      <c r="AR45" s="231">
        <v>521220</v>
      </c>
      <c r="AS45" s="231">
        <v>2609145</v>
      </c>
      <c r="AT45" s="231"/>
      <c r="AU45" s="231">
        <v>32437336</v>
      </c>
      <c r="AV45" s="436"/>
      <c r="AW45" s="228">
        <f t="shared" si="9"/>
        <v>36725160</v>
      </c>
      <c r="AX45" s="431">
        <f t="shared" si="6"/>
        <v>47039811</v>
      </c>
    </row>
    <row r="46" spans="1:52" ht="15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303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6"/>
        <v>0</v>
      </c>
    </row>
    <row r="47" spans="1:52" ht="15">
      <c r="A47" s="573">
        <v>14</v>
      </c>
      <c r="B47" s="575" t="s">
        <v>81</v>
      </c>
      <c r="C47" s="576">
        <v>1978</v>
      </c>
      <c r="D47" s="577">
        <v>190970000</v>
      </c>
      <c r="E47" s="578">
        <f>+D47*E31</f>
        <v>133678999.99999999</v>
      </c>
      <c r="F47" s="579">
        <f>+D47*F31</f>
        <v>57291000</v>
      </c>
      <c r="G47" s="580"/>
      <c r="H47" s="324">
        <f t="shared" si="7"/>
        <v>190970000</v>
      </c>
      <c r="I47" s="252"/>
      <c r="J47" s="221"/>
      <c r="K47" s="303">
        <v>133679000</v>
      </c>
      <c r="L47" s="206"/>
      <c r="M47" s="206"/>
      <c r="N47" s="206"/>
      <c r="O47" s="212"/>
      <c r="P47" s="212"/>
      <c r="Q47" s="212"/>
      <c r="R47" s="212">
        <v>57291000</v>
      </c>
      <c r="S47" s="212"/>
      <c r="T47" s="248"/>
      <c r="U47" s="235"/>
      <c r="V47" s="206"/>
      <c r="W47" s="206">
        <v>133679000</v>
      </c>
      <c r="X47" s="206"/>
      <c r="Y47" s="206"/>
      <c r="Z47" s="206"/>
      <c r="AA47" s="206"/>
      <c r="AB47" s="206"/>
      <c r="AC47" s="206"/>
      <c r="AD47" s="206">
        <v>57291000</v>
      </c>
      <c r="AE47" s="206"/>
      <c r="AF47" s="206"/>
      <c r="AG47" s="219">
        <f t="shared" si="8"/>
        <v>190970000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>
        <v>25585662</v>
      </c>
      <c r="AU47" s="206">
        <v>12463084</v>
      </c>
      <c r="AV47" s="227">
        <v>7793771</v>
      </c>
      <c r="AW47" s="228">
        <f t="shared" ref="AW47:AW67" si="10">SUM(AK47:AV47)</f>
        <v>45842517</v>
      </c>
      <c r="AX47" s="431">
        <f t="shared" si="6"/>
        <v>145127483</v>
      </c>
    </row>
    <row r="48" spans="1:52" ht="15">
      <c r="A48" s="18">
        <v>15</v>
      </c>
      <c r="B48" s="7" t="s">
        <v>82</v>
      </c>
      <c r="C48" s="147"/>
      <c r="D48" s="13"/>
      <c r="E48" s="142"/>
      <c r="F48" s="143"/>
      <c r="G48" s="160"/>
      <c r="H48" s="324">
        <f t="shared" si="7"/>
        <v>0</v>
      </c>
      <c r="I48" s="252"/>
      <c r="J48" s="221"/>
      <c r="K48" s="303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8"/>
        <v>0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1">
        <f t="shared" si="6"/>
        <v>0</v>
      </c>
    </row>
    <row r="49" spans="1:53" ht="15">
      <c r="A49" s="573">
        <v>16</v>
      </c>
      <c r="B49" s="575" t="s">
        <v>83</v>
      </c>
      <c r="C49" s="576" t="s">
        <v>191</v>
      </c>
      <c r="D49" s="577">
        <f>30390434-42</f>
        <v>30390392</v>
      </c>
      <c r="E49" s="578">
        <f>+D49*E31</f>
        <v>21273274.399999999</v>
      </c>
      <c r="F49" s="579">
        <f>+D49*F31</f>
        <v>9117117.5999999996</v>
      </c>
      <c r="G49" s="580"/>
      <c r="H49" s="324">
        <f t="shared" si="7"/>
        <v>30390434.799999997</v>
      </c>
      <c r="I49" s="252"/>
      <c r="J49" s="221"/>
      <c r="K49" s="303">
        <v>21273303.799999997</v>
      </c>
      <c r="L49" s="206"/>
      <c r="M49" s="206"/>
      <c r="N49" s="206"/>
      <c r="O49" s="212"/>
      <c r="P49" s="212"/>
      <c r="Q49" s="212"/>
      <c r="R49" s="212">
        <v>9117131</v>
      </c>
      <c r="S49" s="212"/>
      <c r="T49" s="248"/>
      <c r="U49" s="235"/>
      <c r="V49" s="206"/>
      <c r="W49" s="206">
        <v>21273304</v>
      </c>
      <c r="X49" s="206"/>
      <c r="Y49" s="206"/>
      <c r="Z49" s="206"/>
      <c r="AA49" s="206"/>
      <c r="AB49" s="206"/>
      <c r="AC49" s="206"/>
      <c r="AD49" s="206"/>
      <c r="AE49" s="206"/>
      <c r="AF49" s="206"/>
      <c r="AG49" s="219">
        <f t="shared" si="8"/>
        <v>21273304</v>
      </c>
      <c r="AH49" s="124">
        <f t="shared" si="5"/>
        <v>9117130.799999997</v>
      </c>
      <c r="AK49" s="235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27"/>
      <c r="AW49" s="228">
        <f t="shared" si="10"/>
        <v>0</v>
      </c>
      <c r="AX49" s="431">
        <f t="shared" si="6"/>
        <v>21273304</v>
      </c>
    </row>
    <row r="50" spans="1:53" ht="15">
      <c r="A50" s="573">
        <v>17</v>
      </c>
      <c r="B50" s="575" t="s">
        <v>95</v>
      </c>
      <c r="C50" s="576">
        <v>1248</v>
      </c>
      <c r="D50" s="577">
        <v>9163050</v>
      </c>
      <c r="E50" s="578">
        <f>+D50*$E$31</f>
        <v>6414135</v>
      </c>
      <c r="F50" s="579">
        <f>+D50*$F$31</f>
        <v>2748915</v>
      </c>
      <c r="G50" s="580"/>
      <c r="H50" s="324">
        <f t="shared" si="7"/>
        <v>9163050</v>
      </c>
      <c r="I50" s="252"/>
      <c r="J50" s="221"/>
      <c r="K50" s="303">
        <v>6414135</v>
      </c>
      <c r="L50" s="206"/>
      <c r="M50" s="206"/>
      <c r="N50" s="206"/>
      <c r="O50" s="212"/>
      <c r="P50" s="212"/>
      <c r="Q50" s="212"/>
      <c r="R50" s="212">
        <v>1407106.6239292468</v>
      </c>
      <c r="S50" s="212">
        <v>1341808.3760707527</v>
      </c>
      <c r="T50" s="248"/>
      <c r="U50" s="235"/>
      <c r="V50" s="206"/>
      <c r="W50" s="206">
        <v>6414135</v>
      </c>
      <c r="X50" s="206"/>
      <c r="Y50" s="206"/>
      <c r="Z50" s="206"/>
      <c r="AA50" s="206"/>
      <c r="AB50" s="206"/>
      <c r="AC50" s="206"/>
      <c r="AD50" s="206">
        <v>1407106.6239292468</v>
      </c>
      <c r="AE50" s="206">
        <v>1341808.3760707527</v>
      </c>
      <c r="AF50" s="206"/>
      <c r="AG50" s="219">
        <f t="shared" si="8"/>
        <v>9163050</v>
      </c>
      <c r="AH50" s="124">
        <f t="shared" si="5"/>
        <v>0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0"/>
        <v>0</v>
      </c>
      <c r="AX50" s="431">
        <f t="shared" si="6"/>
        <v>9163050</v>
      </c>
    </row>
    <row r="51" spans="1:53" ht="15">
      <c r="A51" s="573">
        <v>18</v>
      </c>
      <c r="B51" s="575" t="s">
        <v>96</v>
      </c>
      <c r="C51" s="576">
        <v>1248</v>
      </c>
      <c r="D51" s="577">
        <v>54978300</v>
      </c>
      <c r="E51" s="578">
        <f>+D51*$E$31</f>
        <v>38484810</v>
      </c>
      <c r="F51" s="579">
        <f>+D51*$F$31</f>
        <v>16493490</v>
      </c>
      <c r="G51" s="580"/>
      <c r="H51" s="324">
        <f t="shared" si="7"/>
        <v>54978300</v>
      </c>
      <c r="I51" s="252"/>
      <c r="J51" s="221"/>
      <c r="K51" s="303">
        <v>38484810</v>
      </c>
      <c r="L51" s="206"/>
      <c r="M51" s="206"/>
      <c r="N51" s="206"/>
      <c r="O51" s="212"/>
      <c r="P51" s="212"/>
      <c r="Q51" s="212"/>
      <c r="R51" s="212">
        <v>9849746.3675047252</v>
      </c>
      <c r="S51" s="212">
        <v>6643743.6324952766</v>
      </c>
      <c r="T51" s="248"/>
      <c r="U51" s="235"/>
      <c r="V51" s="206"/>
      <c r="W51" s="206">
        <v>38484810</v>
      </c>
      <c r="X51" s="206"/>
      <c r="Y51" s="206"/>
      <c r="Z51" s="206"/>
      <c r="AA51" s="206"/>
      <c r="AB51" s="206"/>
      <c r="AC51" s="206"/>
      <c r="AD51" s="206">
        <v>9849746.3675047252</v>
      </c>
      <c r="AE51" s="206">
        <v>6643743.6324952766</v>
      </c>
      <c r="AF51" s="206"/>
      <c r="AG51" s="219">
        <f t="shared" si="8"/>
        <v>54978300</v>
      </c>
      <c r="AH51" s="124">
        <f t="shared" si="5"/>
        <v>0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0"/>
        <v>0</v>
      </c>
      <c r="AX51" s="431">
        <f t="shared" si="6"/>
        <v>54978300</v>
      </c>
    </row>
    <row r="52" spans="1:53" ht="15">
      <c r="A52" s="573">
        <v>19</v>
      </c>
      <c r="B52" s="575" t="s">
        <v>97</v>
      </c>
      <c r="C52" s="576">
        <v>1248</v>
      </c>
      <c r="D52" s="577">
        <v>35636250</v>
      </c>
      <c r="E52" s="578">
        <f>+D52*$E$31</f>
        <v>24945375</v>
      </c>
      <c r="F52" s="579">
        <f>+D52*$F$31</f>
        <v>10690875</v>
      </c>
      <c r="G52" s="580"/>
      <c r="H52" s="324">
        <f t="shared" si="7"/>
        <v>35636250</v>
      </c>
      <c r="I52" s="252"/>
      <c r="J52" s="221"/>
      <c r="K52" s="303">
        <v>24945375</v>
      </c>
      <c r="L52" s="206"/>
      <c r="M52" s="206"/>
      <c r="N52" s="206"/>
      <c r="O52" s="212"/>
      <c r="P52" s="212"/>
      <c r="Q52" s="212"/>
      <c r="R52" s="212">
        <v>1970069.052741118</v>
      </c>
      <c r="S52" s="212">
        <v>8720805.9472588822</v>
      </c>
      <c r="T52" s="248"/>
      <c r="U52" s="235"/>
      <c r="V52" s="206"/>
      <c r="W52" s="206">
        <v>24945375</v>
      </c>
      <c r="X52" s="206"/>
      <c r="Y52" s="206"/>
      <c r="Z52" s="206"/>
      <c r="AA52" s="206"/>
      <c r="AB52" s="206"/>
      <c r="AC52" s="206"/>
      <c r="AD52" s="206">
        <v>1970069.052741118</v>
      </c>
      <c r="AE52" s="206">
        <v>8720805.9472588822</v>
      </c>
      <c r="AF52" s="206"/>
      <c r="AG52" s="219">
        <f t="shared" si="8"/>
        <v>35636250</v>
      </c>
      <c r="AH52" s="124">
        <f t="shared" si="5"/>
        <v>0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0"/>
        <v>0</v>
      </c>
      <c r="AX52" s="431">
        <f t="shared" si="6"/>
        <v>35636250</v>
      </c>
    </row>
    <row r="53" spans="1:53" ht="15">
      <c r="A53" s="573">
        <v>20</v>
      </c>
      <c r="B53" s="575" t="s">
        <v>98</v>
      </c>
      <c r="C53" s="576">
        <v>1248</v>
      </c>
      <c r="D53" s="577">
        <v>4520087</v>
      </c>
      <c r="E53" s="578">
        <f>+D53*$E$31</f>
        <v>3164060.9</v>
      </c>
      <c r="F53" s="579">
        <f>+D53*$F$31</f>
        <v>1356026.0999999999</v>
      </c>
      <c r="G53" s="580"/>
      <c r="H53" s="324">
        <f t="shared" si="7"/>
        <v>4520087</v>
      </c>
      <c r="I53" s="252"/>
      <c r="J53" s="221"/>
      <c r="K53" s="303">
        <v>3164060.9</v>
      </c>
      <c r="L53" s="206"/>
      <c r="M53" s="206"/>
      <c r="N53" s="206"/>
      <c r="O53" s="212"/>
      <c r="P53" s="212"/>
      <c r="Q53" s="212"/>
      <c r="R53" s="212">
        <v>499194.95582490973</v>
      </c>
      <c r="S53" s="212">
        <v>856831.14417509036</v>
      </c>
      <c r="T53" s="248"/>
      <c r="U53" s="235"/>
      <c r="V53" s="206"/>
      <c r="W53" s="206">
        <v>3164060.9</v>
      </c>
      <c r="X53" s="206"/>
      <c r="Y53" s="206"/>
      <c r="Z53" s="206"/>
      <c r="AA53" s="206"/>
      <c r="AB53" s="206"/>
      <c r="AC53" s="206"/>
      <c r="AD53" s="206">
        <v>499194.95582490973</v>
      </c>
      <c r="AE53" s="206">
        <v>856831.14417509036</v>
      </c>
      <c r="AF53" s="206"/>
      <c r="AG53" s="219">
        <f t="shared" si="8"/>
        <v>4520087</v>
      </c>
      <c r="AH53" s="124">
        <f t="shared" si="5"/>
        <v>0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0"/>
        <v>0</v>
      </c>
      <c r="AX53" s="431">
        <f t="shared" si="6"/>
        <v>4520087</v>
      </c>
    </row>
    <row r="54" spans="1:53" ht="15">
      <c r="A54" s="573">
        <v>21</v>
      </c>
      <c r="B54" s="575" t="s">
        <v>84</v>
      </c>
      <c r="C54" s="576">
        <v>1981</v>
      </c>
      <c r="D54" s="577">
        <v>18964450</v>
      </c>
      <c r="E54" s="578">
        <f>+D54*$E$31</f>
        <v>13275115</v>
      </c>
      <c r="F54" s="579">
        <f>+D54*$F$31</f>
        <v>5689335</v>
      </c>
      <c r="G54" s="580"/>
      <c r="H54" s="324">
        <f t="shared" si="7"/>
        <v>18964450</v>
      </c>
      <c r="I54" s="252"/>
      <c r="J54" s="221"/>
      <c r="K54" s="303"/>
      <c r="L54" s="206">
        <v>13275115</v>
      </c>
      <c r="M54" s="206"/>
      <c r="N54" s="206"/>
      <c r="O54" s="212"/>
      <c r="P54" s="212"/>
      <c r="Q54" s="212"/>
      <c r="R54" s="212">
        <v>5689335</v>
      </c>
      <c r="S54" s="212"/>
      <c r="T54" s="248"/>
      <c r="U54" s="235"/>
      <c r="V54" s="206"/>
      <c r="W54" s="206"/>
      <c r="X54" s="206">
        <v>13275115</v>
      </c>
      <c r="Y54" s="206"/>
      <c r="Z54" s="206"/>
      <c r="AA54" s="206"/>
      <c r="AB54" s="206"/>
      <c r="AC54" s="206"/>
      <c r="AD54" s="206">
        <v>5689335</v>
      </c>
      <c r="AE54" s="206"/>
      <c r="AF54" s="206"/>
      <c r="AG54" s="219">
        <f t="shared" si="8"/>
        <v>18964450</v>
      </c>
      <c r="AH54" s="124">
        <f t="shared" si="5"/>
        <v>0</v>
      </c>
      <c r="AK54" s="235"/>
      <c r="AL54" s="206"/>
      <c r="AM54" s="206"/>
      <c r="AN54" s="206"/>
      <c r="AO54" s="206"/>
      <c r="AP54" s="206"/>
      <c r="AQ54" s="206"/>
      <c r="AR54" s="206">
        <v>1486260</v>
      </c>
      <c r="AS54" s="206"/>
      <c r="AT54" s="206"/>
      <c r="AU54" s="206">
        <v>4185982</v>
      </c>
      <c r="AV54" s="227"/>
      <c r="AW54" s="228">
        <f t="shared" si="10"/>
        <v>5672242</v>
      </c>
      <c r="AX54" s="431">
        <f t="shared" si="6"/>
        <v>13292208</v>
      </c>
    </row>
    <row r="55" spans="1:53" ht="15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7"/>
        <v>0</v>
      </c>
      <c r="I55" s="252"/>
      <c r="J55" s="221"/>
      <c r="K55" s="303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1">
        <f t="shared" si="6"/>
        <v>0</v>
      </c>
    </row>
    <row r="56" spans="1:53" ht="15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7"/>
        <v>0</v>
      </c>
      <c r="I56" s="252"/>
      <c r="J56" s="221"/>
      <c r="K56" s="303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1">
        <f t="shared" si="6"/>
        <v>0</v>
      </c>
    </row>
    <row r="57" spans="1:53" ht="15">
      <c r="A57" s="573">
        <v>24</v>
      </c>
      <c r="B57" s="575" t="s">
        <v>87</v>
      </c>
      <c r="C57" s="576">
        <v>1977</v>
      </c>
      <c r="D57" s="577">
        <v>54442945</v>
      </c>
      <c r="E57" s="578">
        <f>+D57*E31</f>
        <v>38110061.5</v>
      </c>
      <c r="F57" s="579">
        <f>+D57*F31</f>
        <v>16332883.5</v>
      </c>
      <c r="G57" s="580"/>
      <c r="H57" s="324">
        <f t="shared" si="7"/>
        <v>54442945</v>
      </c>
      <c r="I57" s="252"/>
      <c r="J57" s="221"/>
      <c r="K57" s="303">
        <v>38110061</v>
      </c>
      <c r="L57" s="206"/>
      <c r="M57" s="206"/>
      <c r="N57" s="206"/>
      <c r="O57" s="212"/>
      <c r="P57" s="212"/>
      <c r="Q57" s="212"/>
      <c r="R57" s="212">
        <v>16332884</v>
      </c>
      <c r="S57" s="212"/>
      <c r="T57" s="248"/>
      <c r="U57" s="235"/>
      <c r="V57" s="206"/>
      <c r="W57" s="206">
        <v>38110061</v>
      </c>
      <c r="X57" s="206"/>
      <c r="Y57" s="206"/>
      <c r="Z57" s="206"/>
      <c r="AA57" s="206"/>
      <c r="AB57" s="206"/>
      <c r="AC57" s="206"/>
      <c r="AD57" s="206">
        <v>16332884</v>
      </c>
      <c r="AE57" s="206"/>
      <c r="AF57" s="206"/>
      <c r="AG57" s="219">
        <f t="shared" si="8"/>
        <v>54442945</v>
      </c>
      <c r="AH57" s="124">
        <f t="shared" si="5"/>
        <v>0</v>
      </c>
      <c r="AK57" s="235">
        <v>0</v>
      </c>
      <c r="AL57" s="206">
        <v>0</v>
      </c>
      <c r="AM57" s="206">
        <v>0</v>
      </c>
      <c r="AN57" s="206">
        <v>0</v>
      </c>
      <c r="AO57" s="206">
        <v>4816408</v>
      </c>
      <c r="AP57" s="206"/>
      <c r="AQ57" s="206"/>
      <c r="AR57" s="206">
        <v>9632816</v>
      </c>
      <c r="AS57" s="206"/>
      <c r="AT57" s="206">
        <v>4816408</v>
      </c>
      <c r="AU57" s="206"/>
      <c r="AV57" s="227"/>
      <c r="AW57" s="228">
        <f t="shared" si="10"/>
        <v>19265632</v>
      </c>
      <c r="AX57" s="431">
        <f t="shared" si="6"/>
        <v>35177313</v>
      </c>
    </row>
    <row r="58" spans="1:53" s="190" customFormat="1" ht="28.5">
      <c r="A58" s="573">
        <v>25</v>
      </c>
      <c r="B58" s="595" t="s">
        <v>109</v>
      </c>
      <c r="C58" s="603">
        <v>1969</v>
      </c>
      <c r="D58" s="597">
        <v>17523586</v>
      </c>
      <c r="E58" s="598">
        <f>+D58*E31</f>
        <v>12266510.199999999</v>
      </c>
      <c r="F58" s="599">
        <f>+D58*F31</f>
        <v>5257075.8</v>
      </c>
      <c r="G58" s="600"/>
      <c r="H58" s="324">
        <f t="shared" si="7"/>
        <v>17523586</v>
      </c>
      <c r="I58" s="253"/>
      <c r="J58" s="232"/>
      <c r="K58" s="304">
        <v>12266510</v>
      </c>
      <c r="L58" s="231"/>
      <c r="M58" s="231"/>
      <c r="N58" s="231"/>
      <c r="O58" s="212"/>
      <c r="P58" s="212"/>
      <c r="Q58" s="212"/>
      <c r="R58" s="212">
        <v>5257076</v>
      </c>
      <c r="S58" s="212"/>
      <c r="T58" s="248"/>
      <c r="U58" s="238"/>
      <c r="V58" s="231"/>
      <c r="W58" s="231">
        <v>12266510</v>
      </c>
      <c r="X58" s="231"/>
      <c r="Y58" s="231"/>
      <c r="Z58" s="231"/>
      <c r="AA58" s="231"/>
      <c r="AB58" s="231"/>
      <c r="AC58" s="231"/>
      <c r="AD58" s="231">
        <v>5257076</v>
      </c>
      <c r="AE58" s="231"/>
      <c r="AF58" s="231"/>
      <c r="AG58" s="219">
        <f t="shared" si="8"/>
        <v>17523586</v>
      </c>
      <c r="AH58" s="124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>
        <v>511652</v>
      </c>
      <c r="AS58" s="231"/>
      <c r="AT58" s="231">
        <v>5776357</v>
      </c>
      <c r="AU58" s="231">
        <v>712215</v>
      </c>
      <c r="AV58" s="436"/>
      <c r="AW58" s="228">
        <f t="shared" si="10"/>
        <v>7000224</v>
      </c>
      <c r="AX58" s="431">
        <f t="shared" si="6"/>
        <v>10523362</v>
      </c>
      <c r="AY58" s="677">
        <v>37545696</v>
      </c>
      <c r="AZ58" s="677">
        <v>30485848</v>
      </c>
    </row>
    <row r="59" spans="1:53" ht="16.5" customHeight="1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303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6"/>
        <v>0</v>
      </c>
    </row>
    <row r="60" spans="1:53" ht="15">
      <c r="A60" s="573">
        <v>27</v>
      </c>
      <c r="B60" s="575" t="s">
        <v>89</v>
      </c>
      <c r="C60" s="576">
        <v>1982</v>
      </c>
      <c r="D60" s="577">
        <v>138447252</v>
      </c>
      <c r="E60" s="578">
        <f>+D60*G31</f>
        <v>11537271</v>
      </c>
      <c r="F60" s="578">
        <v>11537271</v>
      </c>
      <c r="G60" s="686">
        <v>11537271</v>
      </c>
      <c r="H60" s="324">
        <f t="shared" si="7"/>
        <v>138447252</v>
      </c>
      <c r="I60" s="252"/>
      <c r="J60" s="221"/>
      <c r="K60" s="303">
        <v>34611813</v>
      </c>
      <c r="L60" s="206">
        <v>11537271</v>
      </c>
      <c r="M60" s="206">
        <v>11537271</v>
      </c>
      <c r="N60" s="206">
        <v>11537271</v>
      </c>
      <c r="O60" s="212">
        <v>11537271</v>
      </c>
      <c r="P60" s="212">
        <v>11537271</v>
      </c>
      <c r="Q60" s="212">
        <v>11537271</v>
      </c>
      <c r="R60" s="212">
        <v>11537271</v>
      </c>
      <c r="S60" s="212">
        <v>11537271</v>
      </c>
      <c r="T60" s="248">
        <v>11537271</v>
      </c>
      <c r="U60" s="235"/>
      <c r="V60" s="206"/>
      <c r="W60" s="206">
        <v>34611813</v>
      </c>
      <c r="X60" s="206">
        <v>11537271</v>
      </c>
      <c r="Y60" s="206">
        <v>11537271</v>
      </c>
      <c r="Z60" s="206"/>
      <c r="AA60" s="206">
        <v>11537271</v>
      </c>
      <c r="AB60" s="206">
        <v>11537271</v>
      </c>
      <c r="AC60" s="206">
        <f>11537271+11537271</f>
        <v>23074542</v>
      </c>
      <c r="AD60" s="206">
        <v>11537271</v>
      </c>
      <c r="AE60" s="206">
        <v>11537271</v>
      </c>
      <c r="AF60" s="65">
        <v>11537271</v>
      </c>
      <c r="AG60" s="219">
        <f t="shared" si="8"/>
        <v>138447252</v>
      </c>
      <c r="AH60" s="124">
        <f t="shared" si="5"/>
        <v>0</v>
      </c>
      <c r="AK60" s="235"/>
      <c r="AL60" s="206"/>
      <c r="AM60" s="206"/>
      <c r="AN60" s="206">
        <v>44341763.242342047</v>
      </c>
      <c r="AO60" s="206">
        <v>16080393.738975149</v>
      </c>
      <c r="AP60" s="206">
        <v>15973992.165345697</v>
      </c>
      <c r="AQ60" s="206">
        <v>12737549.077283662</v>
      </c>
      <c r="AR60" s="206">
        <v>26503572.431452677</v>
      </c>
      <c r="AS60" s="206"/>
      <c r="AT60" s="206">
        <v>26064883.568022631</v>
      </c>
      <c r="AU60" s="206">
        <v>37545696</v>
      </c>
      <c r="AV60" s="227"/>
      <c r="AW60" s="228">
        <f t="shared" si="10"/>
        <v>179247850.22342187</v>
      </c>
      <c r="AX60" s="431">
        <f>+AG60-AW60</f>
        <v>-40800598.223421872</v>
      </c>
      <c r="AY60" s="207">
        <v>16058848</v>
      </c>
      <c r="AZ60" s="149">
        <v>1</v>
      </c>
    </row>
    <row r="61" spans="1:53" ht="15">
      <c r="A61" s="573">
        <v>28</v>
      </c>
      <c r="B61" s="575" t="s">
        <v>110</v>
      </c>
      <c r="C61" s="576">
        <v>1982</v>
      </c>
      <c r="D61" s="577">
        <v>29326476</v>
      </c>
      <c r="E61" s="578">
        <f>+D61*G31</f>
        <v>2443873</v>
      </c>
      <c r="F61" s="579">
        <f>+D61*G31</f>
        <v>2443873</v>
      </c>
      <c r="G61" s="580">
        <f>+D61*G31</f>
        <v>2443873</v>
      </c>
      <c r="H61" s="324">
        <f t="shared" si="7"/>
        <v>29326476</v>
      </c>
      <c r="I61" s="252"/>
      <c r="J61" s="221"/>
      <c r="K61" s="303">
        <v>7331619</v>
      </c>
      <c r="L61" s="206">
        <v>2443873</v>
      </c>
      <c r="M61" s="206">
        <v>2443873</v>
      </c>
      <c r="N61" s="206">
        <v>2443873</v>
      </c>
      <c r="O61" s="212">
        <v>2443873</v>
      </c>
      <c r="P61" s="212">
        <v>2443873</v>
      </c>
      <c r="Q61" s="65">
        <v>2443873</v>
      </c>
      <c r="R61" s="212">
        <v>2443873</v>
      </c>
      <c r="S61" s="212">
        <v>2443873</v>
      </c>
      <c r="T61" s="248">
        <v>2443873</v>
      </c>
      <c r="U61" s="235"/>
      <c r="V61" s="206"/>
      <c r="W61" s="206">
        <v>7331619</v>
      </c>
      <c r="X61" s="206">
        <v>2443873</v>
      </c>
      <c r="Y61" s="206">
        <v>2443873</v>
      </c>
      <c r="Z61" s="206"/>
      <c r="AA61" s="206">
        <v>2443873</v>
      </c>
      <c r="AB61" s="206">
        <v>2443873</v>
      </c>
      <c r="AC61" s="206">
        <f>2443873+2443873</f>
        <v>4887746</v>
      </c>
      <c r="AD61" s="206">
        <v>2443873</v>
      </c>
      <c r="AE61" s="206">
        <v>2443873</v>
      </c>
      <c r="AF61" s="65">
        <v>2443873</v>
      </c>
      <c r="AG61" s="219">
        <f t="shared" si="8"/>
        <v>29326476</v>
      </c>
      <c r="AH61" s="124">
        <f t="shared" si="5"/>
        <v>0</v>
      </c>
      <c r="AK61" s="235"/>
      <c r="AL61" s="206"/>
      <c r="AM61" s="206"/>
      <c r="AN61" s="206">
        <v>9392657.7576579563</v>
      </c>
      <c r="AO61" s="206">
        <v>3406216.26102485</v>
      </c>
      <c r="AP61" s="206">
        <v>3383677.8346543023</v>
      </c>
      <c r="AQ61" s="206">
        <v>2698120.9227163387</v>
      </c>
      <c r="AR61" s="206">
        <v>5614097.5685473206</v>
      </c>
      <c r="AS61" s="206"/>
      <c r="AT61" s="206">
        <v>1648964.431977368</v>
      </c>
      <c r="AU61" s="206"/>
      <c r="AV61" s="227">
        <v>30485848</v>
      </c>
      <c r="AW61" s="228">
        <f t="shared" si="10"/>
        <v>56629582.776578136</v>
      </c>
      <c r="AX61" s="431">
        <f t="shared" si="6"/>
        <v>-27303106.776578136</v>
      </c>
      <c r="AY61" s="170">
        <f>+AX60+AX61</f>
        <v>-68103705</v>
      </c>
      <c r="AZ61" s="502">
        <f>+(AX60*AZ60)/AY61</f>
        <v>0.5990951332739074</v>
      </c>
      <c r="BA61" s="207">
        <f>+AY58*AZ61</f>
        <v>22493443.748981614</v>
      </c>
    </row>
    <row r="62" spans="1:53" ht="15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7"/>
        <v>0</v>
      </c>
      <c r="I62" s="252"/>
      <c r="J62" s="221"/>
      <c r="K62" s="303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1">
        <f t="shared" si="6"/>
        <v>0</v>
      </c>
      <c r="AZ62" s="502">
        <f>+(AX61*AZ60)/AY61</f>
        <v>0.40090486672609277</v>
      </c>
      <c r="BA62" s="207">
        <f>+AY58*AZ62</f>
        <v>15052252.251018394</v>
      </c>
    </row>
    <row r="63" spans="1:53" ht="15">
      <c r="A63" s="573">
        <v>30</v>
      </c>
      <c r="B63" s="575" t="s">
        <v>90</v>
      </c>
      <c r="C63" s="576" t="s">
        <v>207</v>
      </c>
      <c r="D63" s="577">
        <f>210533880+20349212</f>
        <v>230883092</v>
      </c>
      <c r="E63" s="578">
        <f>+D63*E31</f>
        <v>161618164.39999998</v>
      </c>
      <c r="F63" s="579">
        <f>+D63*F31</f>
        <v>69264927.599999994</v>
      </c>
      <c r="G63" s="580"/>
      <c r="H63" s="324">
        <f t="shared" si="7"/>
        <v>230883102</v>
      </c>
      <c r="I63" s="252"/>
      <c r="J63" s="221"/>
      <c r="K63" s="303">
        <v>147373716</v>
      </c>
      <c r="L63" s="206"/>
      <c r="M63" s="206"/>
      <c r="N63" s="206"/>
      <c r="O63" s="212">
        <v>14244455</v>
      </c>
      <c r="P63" s="212"/>
      <c r="Q63" s="212"/>
      <c r="R63" s="212">
        <v>69264931</v>
      </c>
      <c r="S63" s="212"/>
      <c r="T63" s="248"/>
      <c r="U63" s="235"/>
      <c r="V63" s="206"/>
      <c r="W63" s="206">
        <v>147373716</v>
      </c>
      <c r="X63" s="206"/>
      <c r="Y63" s="206"/>
      <c r="Z63" s="206"/>
      <c r="AA63" s="206">
        <v>14244455</v>
      </c>
      <c r="AB63" s="206"/>
      <c r="AC63" s="206"/>
      <c r="AD63" s="206">
        <v>69264921</v>
      </c>
      <c r="AE63" s="206"/>
      <c r="AF63" s="206"/>
      <c r="AG63" s="219">
        <f t="shared" si="8"/>
        <v>230883092</v>
      </c>
      <c r="AH63" s="124">
        <f t="shared" si="5"/>
        <v>10</v>
      </c>
      <c r="AK63" s="235"/>
      <c r="AL63" s="206"/>
      <c r="AM63" s="206"/>
      <c r="AN63" s="206"/>
      <c r="AO63" s="206"/>
      <c r="AP63" s="206"/>
      <c r="AQ63" s="206"/>
      <c r="AR63" s="206"/>
      <c r="AS63" s="206">
        <v>140968440</v>
      </c>
      <c r="AT63" s="206"/>
      <c r="AU63" s="206">
        <v>39094979</v>
      </c>
      <c r="AV63" s="227">
        <v>32599571</v>
      </c>
      <c r="AW63" s="228">
        <f t="shared" si="10"/>
        <v>212662990</v>
      </c>
      <c r="AX63" s="431">
        <f t="shared" si="6"/>
        <v>18220102</v>
      </c>
      <c r="AZ63" s="502"/>
    </row>
    <row r="64" spans="1:53" ht="15">
      <c r="A64" s="573">
        <v>31</v>
      </c>
      <c r="B64" s="575" t="s">
        <v>91</v>
      </c>
      <c r="C64" s="576">
        <v>1606</v>
      </c>
      <c r="D64" s="577">
        <v>29538341</v>
      </c>
      <c r="E64" s="578">
        <f>+D64*E31</f>
        <v>20676838.699999999</v>
      </c>
      <c r="F64" s="579">
        <f>+D64*F31</f>
        <v>8861502.2999999989</v>
      </c>
      <c r="G64" s="580"/>
      <c r="H64" s="324">
        <f t="shared" si="7"/>
        <v>29538341</v>
      </c>
      <c r="I64" s="252"/>
      <c r="J64" s="221"/>
      <c r="K64" s="303">
        <v>20676838</v>
      </c>
      <c r="L64" s="206"/>
      <c r="M64" s="206"/>
      <c r="N64" s="206"/>
      <c r="O64" s="212"/>
      <c r="P64" s="212"/>
      <c r="Q64" s="212"/>
      <c r="R64" s="212">
        <v>8861503</v>
      </c>
      <c r="S64" s="212"/>
      <c r="T64" s="248"/>
      <c r="U64" s="235"/>
      <c r="V64" s="206"/>
      <c r="W64" s="206">
        <v>20676838</v>
      </c>
      <c r="X64" s="206"/>
      <c r="Y64" s="206"/>
      <c r="Z64" s="206"/>
      <c r="AA64" s="206"/>
      <c r="AB64" s="206"/>
      <c r="AC64" s="206"/>
      <c r="AD64" s="206"/>
      <c r="AE64" s="206">
        <v>8861503</v>
      </c>
      <c r="AF64" s="206"/>
      <c r="AG64" s="219">
        <f t="shared" si="8"/>
        <v>29538341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>
        <v>16832183</v>
      </c>
      <c r="AS64" s="206">
        <v>5273488</v>
      </c>
      <c r="AT64" s="206"/>
      <c r="AU64" s="206">
        <v>14492548</v>
      </c>
      <c r="AV64" s="227"/>
      <c r="AW64" s="228">
        <f t="shared" si="10"/>
        <v>36598219</v>
      </c>
      <c r="AX64" s="431">
        <f t="shared" si="6"/>
        <v>-7059878</v>
      </c>
    </row>
    <row r="65" spans="1:50" ht="15">
      <c r="A65" s="573">
        <v>32</v>
      </c>
      <c r="B65" s="575" t="s">
        <v>92</v>
      </c>
      <c r="C65" s="576">
        <v>1382</v>
      </c>
      <c r="D65" s="577">
        <v>6888868</v>
      </c>
      <c r="E65" s="578">
        <f>+D65*E31</f>
        <v>4822207.5999999996</v>
      </c>
      <c r="F65" s="579">
        <f>+D65*F31</f>
        <v>2066660.4</v>
      </c>
      <c r="G65" s="580"/>
      <c r="H65" s="324">
        <f t="shared" si="7"/>
        <v>6888868</v>
      </c>
      <c r="I65" s="252"/>
      <c r="J65" s="221"/>
      <c r="K65" s="303"/>
      <c r="L65" s="206"/>
      <c r="M65" s="206"/>
      <c r="N65" s="206"/>
      <c r="O65" s="212"/>
      <c r="P65" s="212"/>
      <c r="Q65" s="212"/>
      <c r="R65" s="212">
        <v>6888868</v>
      </c>
      <c r="S65" s="212"/>
      <c r="T65" s="248"/>
      <c r="U65" s="235"/>
      <c r="V65" s="206"/>
      <c r="W65" s="206"/>
      <c r="X65" s="206"/>
      <c r="Y65" s="206"/>
      <c r="Z65" s="206"/>
      <c r="AA65" s="206"/>
      <c r="AB65" s="206"/>
      <c r="AC65" s="206"/>
      <c r="AD65" s="206">
        <v>6888868</v>
      </c>
      <c r="AE65" s="206"/>
      <c r="AF65" s="206"/>
      <c r="AG65" s="219">
        <f t="shared" si="8"/>
        <v>6888868</v>
      </c>
      <c r="AH65" s="124">
        <f t="shared" si="5"/>
        <v>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>
        <v>37909975</v>
      </c>
      <c r="AV65" s="227">
        <v>10738599</v>
      </c>
      <c r="AW65" s="228">
        <f t="shared" si="10"/>
        <v>48648574</v>
      </c>
      <c r="AX65" s="431">
        <f t="shared" si="6"/>
        <v>-41759706</v>
      </c>
    </row>
    <row r="66" spans="1:50" ht="15">
      <c r="A66" s="18">
        <v>33</v>
      </c>
      <c r="B66" s="52" t="s">
        <v>107</v>
      </c>
      <c r="C66" s="148"/>
      <c r="D66" s="43"/>
      <c r="E66" s="174"/>
      <c r="F66" s="175"/>
      <c r="G66" s="176"/>
      <c r="H66" s="324">
        <f t="shared" si="7"/>
        <v>0</v>
      </c>
      <c r="I66" s="254"/>
      <c r="J66" s="222"/>
      <c r="K66" s="305"/>
      <c r="L66" s="210"/>
      <c r="M66" s="210"/>
      <c r="N66" s="210"/>
      <c r="O66" s="212"/>
      <c r="P66" s="212"/>
      <c r="Q66" s="212"/>
      <c r="R66" s="212"/>
      <c r="S66" s="212"/>
      <c r="T66" s="248"/>
      <c r="U66" s="236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1">
        <f t="shared" si="6"/>
        <v>0</v>
      </c>
    </row>
    <row r="67" spans="1:50" s="190" customFormat="1" ht="30">
      <c r="A67" s="602">
        <v>34</v>
      </c>
      <c r="B67" s="626" t="s">
        <v>180</v>
      </c>
      <c r="C67" s="627" t="s">
        <v>311</v>
      </c>
      <c r="D67" s="628">
        <f>13586067+129302000+11275836+87019037+49536000</f>
        <v>290718940</v>
      </c>
      <c r="E67" s="629">
        <v>9510246.8999999985</v>
      </c>
      <c r="F67" s="630">
        <v>4075820.0999999996</v>
      </c>
      <c r="G67" s="631">
        <f>129302000+11275836+87019037</f>
        <v>227596873</v>
      </c>
      <c r="H67" s="361">
        <f t="shared" si="7"/>
        <v>290718940</v>
      </c>
      <c r="I67" s="493"/>
      <c r="J67" s="494"/>
      <c r="K67" s="487">
        <v>9510246</v>
      </c>
      <c r="L67" s="371">
        <v>81001154</v>
      </c>
      <c r="M67" s="371">
        <v>99962807</v>
      </c>
      <c r="N67" s="371"/>
      <c r="O67" s="490"/>
      <c r="P67" s="490">
        <v>0</v>
      </c>
      <c r="Q67" s="490">
        <v>60913326</v>
      </c>
      <c r="R67" s="490">
        <f>23024590+7602817</f>
        <v>30627407</v>
      </c>
      <c r="S67" s="490">
        <f>49536000-16988763-23843237</f>
        <v>8704000</v>
      </c>
      <c r="T67" s="491"/>
      <c r="U67" s="472"/>
      <c r="V67" s="371"/>
      <c r="W67" s="371">
        <v>9510246</v>
      </c>
      <c r="X67" s="371">
        <v>81001154</v>
      </c>
      <c r="Y67" s="371">
        <v>99962807</v>
      </c>
      <c r="Z67" s="371"/>
      <c r="AA67" s="371"/>
      <c r="AB67" s="371"/>
      <c r="AC67" s="371">
        <v>50708733</v>
      </c>
      <c r="AD67" s="371">
        <v>12819997</v>
      </c>
      <c r="AE67" s="371">
        <f>8704000+28012003</f>
        <v>36716003</v>
      </c>
      <c r="AF67" s="371"/>
      <c r="AG67" s="359">
        <f t="shared" si="8"/>
        <v>290718940</v>
      </c>
      <c r="AH67" s="350">
        <f t="shared" si="5"/>
        <v>0</v>
      </c>
      <c r="AI67" s="677">
        <v>28012003</v>
      </c>
      <c r="AK67" s="472"/>
      <c r="AL67" s="371"/>
      <c r="AM67" s="371"/>
      <c r="AN67" s="371"/>
      <c r="AO67" s="371">
        <v>12118236</v>
      </c>
      <c r="AP67" s="371">
        <v>11581869</v>
      </c>
      <c r="AQ67" s="371">
        <v>20581745</v>
      </c>
      <c r="AR67" s="371">
        <v>13208421</v>
      </c>
      <c r="AS67" s="371"/>
      <c r="AT67" s="371"/>
      <c r="AU67" s="371">
        <v>79085781</v>
      </c>
      <c r="AV67" s="443"/>
      <c r="AW67" s="450">
        <f t="shared" si="10"/>
        <v>136576052</v>
      </c>
      <c r="AX67" s="492">
        <f t="shared" si="6"/>
        <v>154142888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>
        <f>+D67-H67</f>
        <v>0</v>
      </c>
      <c r="H68" s="324">
        <f t="shared" si="7"/>
        <v>0</v>
      </c>
      <c r="I68" s="254"/>
      <c r="J68" s="222"/>
      <c r="K68" s="305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350">
        <f t="shared" si="5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1">
        <f t="shared" si="6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7"/>
        <v>0</v>
      </c>
      <c r="I69" s="254"/>
      <c r="J69" s="222"/>
      <c r="K69" s="305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350">
        <f t="shared" si="5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1">
        <f t="shared" si="6"/>
        <v>0</v>
      </c>
    </row>
    <row r="70" spans="1:50" ht="15">
      <c r="A70" s="573">
        <v>37</v>
      </c>
      <c r="B70" s="568" t="s">
        <v>132</v>
      </c>
      <c r="C70" s="569">
        <v>2258</v>
      </c>
      <c r="D70" s="567">
        <v>70936362</v>
      </c>
      <c r="E70" s="563">
        <f>+D70*0.5</f>
        <v>35468181</v>
      </c>
      <c r="F70" s="564">
        <f>+D70*0.25</f>
        <v>17734090.5</v>
      </c>
      <c r="G70" s="565">
        <f>+D70*0.25</f>
        <v>17734090.5</v>
      </c>
      <c r="H70" s="324">
        <f t="shared" si="7"/>
        <v>70936362</v>
      </c>
      <c r="I70" s="254"/>
      <c r="J70" s="222"/>
      <c r="K70" s="305"/>
      <c r="L70" s="210"/>
      <c r="M70" s="210">
        <v>35468181</v>
      </c>
      <c r="N70" s="210"/>
      <c r="O70" s="212"/>
      <c r="P70" s="212">
        <v>17734090</v>
      </c>
      <c r="Q70" s="212"/>
      <c r="R70" s="212">
        <v>17734091</v>
      </c>
      <c r="S70" s="212"/>
      <c r="T70" s="248"/>
      <c r="U70" s="236"/>
      <c r="V70" s="210"/>
      <c r="W70" s="210"/>
      <c r="X70" s="210"/>
      <c r="Y70" s="210">
        <v>35468181</v>
      </c>
      <c r="Z70" s="210"/>
      <c r="AA70" s="210"/>
      <c r="AB70" s="210"/>
      <c r="AC70" s="210">
        <v>17734090</v>
      </c>
      <c r="AD70" s="210">
        <v>17734091</v>
      </c>
      <c r="AE70" s="210"/>
      <c r="AF70" s="210"/>
      <c r="AG70" s="219">
        <f t="shared" si="11"/>
        <v>70936362</v>
      </c>
      <c r="AH70" s="350">
        <f t="shared" si="5"/>
        <v>0</v>
      </c>
      <c r="AK70" s="236"/>
      <c r="AL70" s="210"/>
      <c r="AM70" s="210"/>
      <c r="AN70" s="210"/>
      <c r="AO70" s="210"/>
      <c r="AP70" s="210"/>
      <c r="AQ70" s="210"/>
      <c r="AR70" s="210">
        <v>28947420</v>
      </c>
      <c r="AS70" s="210"/>
      <c r="AT70" s="210"/>
      <c r="AU70" s="210">
        <v>23975042</v>
      </c>
      <c r="AV70" s="229">
        <v>9128442</v>
      </c>
      <c r="AW70" s="228">
        <f t="shared" si="12"/>
        <v>62050904</v>
      </c>
      <c r="AX70" s="431">
        <f t="shared" si="6"/>
        <v>8885458</v>
      </c>
    </row>
    <row r="71" spans="1:50" ht="15">
      <c r="A71" s="18">
        <v>38</v>
      </c>
      <c r="B71" s="52" t="s">
        <v>129</v>
      </c>
      <c r="C71" s="148">
        <v>0</v>
      </c>
      <c r="D71" s="43"/>
      <c r="E71" s="174"/>
      <c r="F71" s="175"/>
      <c r="G71" s="176"/>
      <c r="H71" s="324">
        <f t="shared" si="7"/>
        <v>0</v>
      </c>
      <c r="I71" s="254"/>
      <c r="J71" s="222"/>
      <c r="K71" s="305"/>
      <c r="L71" s="210"/>
      <c r="M71" s="210"/>
      <c r="N71" s="210"/>
      <c r="O71" s="212"/>
      <c r="P71" s="212"/>
      <c r="Q71" s="212"/>
      <c r="R71" s="212"/>
      <c r="S71" s="212"/>
      <c r="T71" s="248"/>
      <c r="U71" s="236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9">
        <f t="shared" si="11"/>
        <v>0</v>
      </c>
      <c r="AH71" s="350">
        <f t="shared" si="5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1">
        <f t="shared" si="6"/>
        <v>0</v>
      </c>
    </row>
    <row r="72" spans="1:50" ht="15">
      <c r="A72" s="18">
        <v>39</v>
      </c>
      <c r="B72" s="52" t="s">
        <v>133</v>
      </c>
      <c r="C72" s="148">
        <v>2216</v>
      </c>
      <c r="D72" s="43">
        <v>2413260</v>
      </c>
      <c r="E72" s="174">
        <v>804420</v>
      </c>
      <c r="F72" s="175">
        <v>804420</v>
      </c>
      <c r="G72" s="176">
        <v>804420</v>
      </c>
      <c r="H72" s="324">
        <f t="shared" si="7"/>
        <v>2413260</v>
      </c>
      <c r="I72" s="254"/>
      <c r="J72" s="222"/>
      <c r="K72" s="305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1"/>
        <v>796375.8</v>
      </c>
      <c r="AH72" s="350">
        <f t="shared" si="5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2"/>
        <v>0</v>
      </c>
      <c r="AX72" s="431">
        <f t="shared" si="6"/>
        <v>796375.8</v>
      </c>
    </row>
    <row r="73" spans="1:50" ht="15">
      <c r="A73" s="18">
        <v>40</v>
      </c>
      <c r="B73" s="52" t="s">
        <v>134</v>
      </c>
      <c r="C73" s="148">
        <v>2208</v>
      </c>
      <c r="D73" s="43">
        <v>5565482</v>
      </c>
      <c r="E73" s="174">
        <f>+D73*$H$31</f>
        <v>1855160.6666666665</v>
      </c>
      <c r="F73" s="175">
        <f>+D73*$H$31</f>
        <v>1855160.6666666665</v>
      </c>
      <c r="G73" s="176">
        <f>+D73*$H$31</f>
        <v>1855160.6666666665</v>
      </c>
      <c r="H73" s="324">
        <f t="shared" si="7"/>
        <v>5565482</v>
      </c>
      <c r="I73" s="254"/>
      <c r="J73" s="222"/>
      <c r="K73" s="305"/>
      <c r="L73" s="210"/>
      <c r="M73" s="210"/>
      <c r="N73" s="210"/>
      <c r="O73" s="212"/>
      <c r="P73" s="212"/>
      <c r="Q73" s="212"/>
      <c r="R73" s="212">
        <v>5565482</v>
      </c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>
        <v>1836609.06</v>
      </c>
      <c r="AG73" s="219">
        <f t="shared" si="11"/>
        <v>1836609.06</v>
      </c>
      <c r="AH73" s="350">
        <f t="shared" si="5"/>
        <v>3728872.94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2"/>
        <v>0</v>
      </c>
      <c r="AX73" s="431">
        <f t="shared" si="6"/>
        <v>1836609.06</v>
      </c>
    </row>
    <row r="74" spans="1:50" ht="15">
      <c r="A74" s="18">
        <v>41</v>
      </c>
      <c r="B74" s="52" t="s">
        <v>135</v>
      </c>
      <c r="C74" s="148">
        <v>2196</v>
      </c>
      <c r="D74" s="43">
        <v>3038496</v>
      </c>
      <c r="E74" s="174">
        <f>+D74*$H$31</f>
        <v>1012832</v>
      </c>
      <c r="F74" s="175">
        <f>+D74*$H$31</f>
        <v>1012832</v>
      </c>
      <c r="G74" s="176">
        <f>+D74*$H$31</f>
        <v>1012832</v>
      </c>
      <c r="H74" s="324">
        <f t="shared" si="7"/>
        <v>3038496</v>
      </c>
      <c r="I74" s="254"/>
      <c r="J74" s="222"/>
      <c r="K74" s="305"/>
      <c r="L74" s="210"/>
      <c r="M74" s="210"/>
      <c r="N74" s="210"/>
      <c r="O74" s="212"/>
      <c r="P74" s="212"/>
      <c r="Q74" s="212"/>
      <c r="R74" s="212">
        <v>3038496</v>
      </c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>
        <v>1002703.68</v>
      </c>
      <c r="AG74" s="219">
        <f t="shared" si="11"/>
        <v>1002703.68</v>
      </c>
      <c r="AH74" s="350">
        <f t="shared" si="5"/>
        <v>2035792.3199999998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2"/>
        <v>0</v>
      </c>
      <c r="AX74" s="431">
        <f t="shared" si="6"/>
        <v>1002703.68</v>
      </c>
    </row>
    <row r="75" spans="1:50" ht="15">
      <c r="A75" s="18">
        <v>42</v>
      </c>
      <c r="B75" s="52" t="s">
        <v>170</v>
      </c>
      <c r="C75" s="148" t="s">
        <v>204</v>
      </c>
      <c r="D75" s="43">
        <v>2231018</v>
      </c>
      <c r="E75" s="720" t="s">
        <v>172</v>
      </c>
      <c r="F75" s="721"/>
      <c r="G75" s="722"/>
      <c r="H75" s="324">
        <f t="shared" si="7"/>
        <v>0</v>
      </c>
      <c r="I75" s="254"/>
      <c r="J75" s="222"/>
      <c r="K75" s="305"/>
      <c r="L75" s="210"/>
      <c r="M75" s="210"/>
      <c r="N75" s="210"/>
      <c r="O75" s="212"/>
      <c r="P75" s="212"/>
      <c r="Q75" s="212"/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3">SUM(U75:AF75)</f>
        <v>0</v>
      </c>
      <c r="AH75" s="350">
        <f t="shared" si="5"/>
        <v>0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1">
        <f t="shared" si="6"/>
        <v>0</v>
      </c>
    </row>
    <row r="76" spans="1:50" ht="15">
      <c r="A76" s="18">
        <v>43</v>
      </c>
      <c r="B76" s="52" t="s">
        <v>173</v>
      </c>
      <c r="C76" s="148" t="s">
        <v>208</v>
      </c>
      <c r="D76" s="43">
        <v>4261000</v>
      </c>
      <c r="E76" s="720" t="s">
        <v>172</v>
      </c>
      <c r="F76" s="721"/>
      <c r="G76" s="722"/>
      <c r="H76" s="324">
        <f>SUM(I76:T76)</f>
        <v>4216000</v>
      </c>
      <c r="I76" s="254"/>
      <c r="J76" s="222"/>
      <c r="K76" s="305"/>
      <c r="L76" s="210"/>
      <c r="M76" s="210"/>
      <c r="N76" s="210"/>
      <c r="O76" s="212"/>
      <c r="P76" s="212"/>
      <c r="Q76" s="212">
        <v>4216000</v>
      </c>
      <c r="R76" s="212"/>
      <c r="S76" s="212"/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3"/>
        <v>0</v>
      </c>
      <c r="AH76" s="350">
        <f>+H76-AG76</f>
        <v>4216000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1">
        <f t="shared" si="6"/>
        <v>0</v>
      </c>
    </row>
    <row r="77" spans="1:50" ht="15">
      <c r="A77" s="18">
        <v>44</v>
      </c>
      <c r="B77" s="52" t="s">
        <v>188</v>
      </c>
      <c r="C77" s="148" t="s">
        <v>223</v>
      </c>
      <c r="D77" s="43">
        <f>29794728+89950224</f>
        <v>119744952</v>
      </c>
      <c r="E77" s="143">
        <f>89950224*0.7</f>
        <v>62965156.799999997</v>
      </c>
      <c r="F77" s="480">
        <f>89950224*0.3</f>
        <v>26985067.199999999</v>
      </c>
      <c r="G77" s="143"/>
      <c r="H77" s="324">
        <f t="shared" si="7"/>
        <v>119744952</v>
      </c>
      <c r="I77" s="254"/>
      <c r="J77" s="222"/>
      <c r="K77" s="305"/>
      <c r="L77" s="210"/>
      <c r="M77" s="210"/>
      <c r="N77" s="210">
        <v>0</v>
      </c>
      <c r="O77" s="212"/>
      <c r="P77" s="212">
        <v>83821466</v>
      </c>
      <c r="Q77" s="299">
        <v>35923486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62965156.799999997</v>
      </c>
      <c r="AC77" s="210"/>
      <c r="AD77" s="210"/>
      <c r="AE77" s="210"/>
      <c r="AF77" s="210"/>
      <c r="AG77" s="219">
        <f t="shared" si="13"/>
        <v>62965156.799999997</v>
      </c>
      <c r="AH77" s="350">
        <f t="shared" si="5"/>
        <v>56779795.200000003</v>
      </c>
      <c r="AI77" s="170">
        <f>+AH76+AH77</f>
        <v>60995795.200000003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>
        <v>76261492</v>
      </c>
      <c r="AV77" s="229"/>
      <c r="AW77" s="228">
        <f t="shared" si="14"/>
        <v>76261492</v>
      </c>
      <c r="AX77" s="431">
        <f t="shared" si="6"/>
        <v>-13296335.200000003</v>
      </c>
    </row>
    <row r="78" spans="1:50" ht="15">
      <c r="A78" s="18">
        <v>45</v>
      </c>
      <c r="B78" s="52" t="s">
        <v>189</v>
      </c>
      <c r="C78" s="148">
        <v>553</v>
      </c>
      <c r="D78" s="43">
        <v>120000000</v>
      </c>
      <c r="E78" s="721" t="s">
        <v>172</v>
      </c>
      <c r="F78" s="721"/>
      <c r="G78" s="722"/>
      <c r="H78" s="324">
        <f t="shared" si="7"/>
        <v>0</v>
      </c>
      <c r="I78" s="254"/>
      <c r="J78" s="222"/>
      <c r="K78" s="305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3"/>
        <v>0</v>
      </c>
      <c r="AH78" s="350">
        <f t="shared" si="5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1">
        <f>+AG78-AW78</f>
        <v>0</v>
      </c>
    </row>
    <row r="79" spans="1:50" ht="15">
      <c r="A79" s="18"/>
      <c r="B79" s="52" t="s">
        <v>205</v>
      </c>
      <c r="C79" s="148"/>
      <c r="D79" s="43"/>
      <c r="E79" s="480"/>
      <c r="F79" s="480"/>
      <c r="G79" s="480"/>
      <c r="H79" s="324">
        <f t="shared" si="7"/>
        <v>0</v>
      </c>
      <c r="I79" s="254"/>
      <c r="J79" s="222"/>
      <c r="K79" s="305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3"/>
        <v>0</v>
      </c>
      <c r="AH79" s="350">
        <f t="shared" si="5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1">
        <f>+AG79-AW79</f>
        <v>0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176"/>
      <c r="H80" s="324">
        <f t="shared" si="7"/>
        <v>0</v>
      </c>
      <c r="I80" s="254"/>
      <c r="J80" s="222"/>
      <c r="K80" s="305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3"/>
        <v>0</v>
      </c>
      <c r="AH80" s="350">
        <f t="shared" si="5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1">
        <f>+AG80-AW80</f>
        <v>0</v>
      </c>
    </row>
    <row r="81" spans="1:50" ht="15">
      <c r="A81" s="621"/>
      <c r="B81" s="568" t="s">
        <v>256</v>
      </c>
      <c r="C81" s="569">
        <v>5504</v>
      </c>
      <c r="D81" s="567">
        <v>8446965</v>
      </c>
      <c r="E81" s="563"/>
      <c r="F81" s="564"/>
      <c r="G81" s="565"/>
      <c r="H81" s="324">
        <f t="shared" si="7"/>
        <v>8446965</v>
      </c>
      <c r="I81" s="254"/>
      <c r="J81" s="222"/>
      <c r="K81" s="305"/>
      <c r="L81" s="210"/>
      <c r="M81" s="210"/>
      <c r="N81" s="210"/>
      <c r="O81" s="212"/>
      <c r="P81" s="212"/>
      <c r="Q81" s="212"/>
      <c r="R81" s="212">
        <v>8446965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8446965</v>
      </c>
      <c r="AE81" s="210"/>
      <c r="AF81" s="210"/>
      <c r="AG81" s="219">
        <f t="shared" si="13"/>
        <v>8446965</v>
      </c>
      <c r="AH81" s="350">
        <f t="shared" si="5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1">
        <f>+AG81-AW81</f>
        <v>8446965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24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3"/>
        <v>0</v>
      </c>
      <c r="AH82" s="350">
        <f t="shared" si="5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4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1923490624</v>
      </c>
      <c r="E83" s="86"/>
      <c r="F83" s="87"/>
      <c r="G83" s="88"/>
      <c r="H83" s="348">
        <f t="shared" ref="H83:AG83" si="15">SUM(H34:H82)</f>
        <v>1809661623.8</v>
      </c>
      <c r="I83" s="255">
        <f t="shared" si="15"/>
        <v>0</v>
      </c>
      <c r="J83" s="256">
        <f t="shared" si="15"/>
        <v>0</v>
      </c>
      <c r="K83" s="256">
        <f t="shared" si="15"/>
        <v>762704651</v>
      </c>
      <c r="L83" s="256">
        <f t="shared" si="15"/>
        <v>129601190</v>
      </c>
      <c r="M83" s="256">
        <f t="shared" si="15"/>
        <v>180240809.5</v>
      </c>
      <c r="N83" s="256">
        <f t="shared" si="15"/>
        <v>13981144</v>
      </c>
      <c r="O83" s="256">
        <f t="shared" si="15"/>
        <v>28225599</v>
      </c>
      <c r="P83" s="256">
        <f t="shared" si="15"/>
        <v>115536700</v>
      </c>
      <c r="Q83" s="256">
        <f t="shared" si="15"/>
        <v>115033956</v>
      </c>
      <c r="R83" s="256">
        <f t="shared" si="15"/>
        <v>396835806.79999995</v>
      </c>
      <c r="S83" s="256">
        <f t="shared" si="15"/>
        <v>40248333.100000001</v>
      </c>
      <c r="T83" s="256">
        <f t="shared" si="15"/>
        <v>27253434.399999999</v>
      </c>
      <c r="U83" s="241">
        <f t="shared" si="15"/>
        <v>0</v>
      </c>
      <c r="V83" s="241">
        <f t="shared" si="15"/>
        <v>0</v>
      </c>
      <c r="W83" s="241">
        <f t="shared" si="15"/>
        <v>762704651.19999993</v>
      </c>
      <c r="X83" s="241">
        <f t="shared" si="15"/>
        <v>129601190</v>
      </c>
      <c r="Y83" s="241">
        <f t="shared" si="15"/>
        <v>180240809.5</v>
      </c>
      <c r="Z83" s="241">
        <f t="shared" si="15"/>
        <v>0</v>
      </c>
      <c r="AA83" s="241">
        <f t="shared" si="15"/>
        <v>28225599</v>
      </c>
      <c r="AB83" s="241">
        <f t="shared" si="15"/>
        <v>76946300.799999997</v>
      </c>
      <c r="AC83" s="241">
        <f t="shared" si="15"/>
        <v>96405111</v>
      </c>
      <c r="AD83" s="241">
        <f t="shared" si="15"/>
        <v>350032514.79999995</v>
      </c>
      <c r="AE83" s="241">
        <f t="shared" si="15"/>
        <v>77121839.099999994</v>
      </c>
      <c r="AF83" s="241">
        <f t="shared" si="15"/>
        <v>30889122.939999998</v>
      </c>
      <c r="AG83" s="241">
        <f t="shared" si="15"/>
        <v>1732167138.3399999</v>
      </c>
      <c r="AH83" s="125">
        <f>+H83-AG83</f>
        <v>77494485.460000038</v>
      </c>
      <c r="AK83" s="425">
        <f t="shared" ref="AK83:AX83" si="16">SUM(AK34:AK82)</f>
        <v>0</v>
      </c>
      <c r="AL83" s="425">
        <f t="shared" si="16"/>
        <v>0</v>
      </c>
      <c r="AM83" s="425">
        <f t="shared" si="16"/>
        <v>0</v>
      </c>
      <c r="AN83" s="425">
        <f t="shared" si="16"/>
        <v>53734421</v>
      </c>
      <c r="AO83" s="425">
        <f t="shared" si="16"/>
        <v>36421254</v>
      </c>
      <c r="AP83" s="425">
        <f t="shared" si="16"/>
        <v>40343427</v>
      </c>
      <c r="AQ83" s="425">
        <f t="shared" si="16"/>
        <v>39356938</v>
      </c>
      <c r="AR83" s="425">
        <f t="shared" si="16"/>
        <v>105439714</v>
      </c>
      <c r="AS83" s="425">
        <f t="shared" si="16"/>
        <v>148851073</v>
      </c>
      <c r="AT83" s="425">
        <f t="shared" si="16"/>
        <v>88642133</v>
      </c>
      <c r="AU83" s="425">
        <f t="shared" si="16"/>
        <v>428625306</v>
      </c>
      <c r="AV83" s="438">
        <f t="shared" si="16"/>
        <v>109263059</v>
      </c>
      <c r="AW83" s="451">
        <f t="shared" si="16"/>
        <v>1050677325</v>
      </c>
      <c r="AX83" s="429">
        <f t="shared" si="16"/>
        <v>681489813.33999979</v>
      </c>
    </row>
    <row r="84" spans="1:50" s="376" customFormat="1" ht="15.75" thickBot="1">
      <c r="D84" s="377"/>
      <c r="E84" s="378"/>
      <c r="F84" s="378"/>
      <c r="G84" s="378"/>
      <c r="H84" s="379"/>
      <c r="I84" s="379"/>
      <c r="J84" s="379"/>
      <c r="K84" s="379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3450729</v>
      </c>
      <c r="V84" s="396">
        <v>3450775</v>
      </c>
      <c r="W84" s="395">
        <v>3450776</v>
      </c>
      <c r="X84" s="396">
        <v>3450777</v>
      </c>
      <c r="Y84" s="395">
        <v>3458679</v>
      </c>
      <c r="Z84" s="396">
        <v>3467966</v>
      </c>
      <c r="AA84" s="395">
        <v>3481348</v>
      </c>
      <c r="AB84" s="396">
        <v>3491837</v>
      </c>
      <c r="AC84" s="395">
        <v>3510176</v>
      </c>
      <c r="AD84" s="396">
        <v>3513798</v>
      </c>
      <c r="AE84" s="395"/>
      <c r="AF84" s="395"/>
      <c r="AG84" s="379"/>
      <c r="AK84" s="471"/>
      <c r="AL84" s="471"/>
      <c r="AM84" s="471"/>
      <c r="AN84" s="471"/>
      <c r="AO84" s="469"/>
      <c r="AS84" s="562"/>
      <c r="AW84" s="207"/>
    </row>
    <row r="85" spans="1:50" ht="15.75" thickBot="1">
      <c r="A85" s="761" t="s">
        <v>94</v>
      </c>
      <c r="B85" s="762"/>
      <c r="C85" s="763"/>
      <c r="D85" s="133">
        <f>+D83+D30</f>
        <v>10291734976</v>
      </c>
      <c r="E85" s="127"/>
      <c r="F85" s="128"/>
      <c r="G85" s="128"/>
      <c r="H85" s="242">
        <f>+H30</f>
        <v>9135594669.5545197</v>
      </c>
      <c r="I85" s="215">
        <f t="shared" ref="I85:AH85" si="17">+I83+I30</f>
        <v>697353696</v>
      </c>
      <c r="J85" s="215">
        <f t="shared" si="17"/>
        <v>696491689</v>
      </c>
      <c r="K85" s="215">
        <f t="shared" si="17"/>
        <v>1459727702.5545201</v>
      </c>
      <c r="L85" s="215">
        <f t="shared" si="17"/>
        <v>992405885</v>
      </c>
      <c r="M85" s="215">
        <f t="shared" si="17"/>
        <v>877313473.5</v>
      </c>
      <c r="N85" s="215">
        <f t="shared" si="17"/>
        <v>876454980</v>
      </c>
      <c r="O85" s="215">
        <f t="shared" si="17"/>
        <v>725266692</v>
      </c>
      <c r="P85" s="215">
        <f t="shared" si="17"/>
        <v>812577793</v>
      </c>
      <c r="Q85" s="215">
        <f t="shared" si="17"/>
        <v>1094288723</v>
      </c>
      <c r="R85" s="215">
        <f t="shared" si="17"/>
        <v>1093034537.8</v>
      </c>
      <c r="S85" s="215">
        <f t="shared" si="17"/>
        <v>736447064.10000002</v>
      </c>
      <c r="T85" s="257">
        <f t="shared" si="17"/>
        <v>883894057.39999998</v>
      </c>
      <c r="U85" s="242">
        <f t="shared" si="17"/>
        <v>697353696</v>
      </c>
      <c r="V85" s="215">
        <f t="shared" si="17"/>
        <v>696491689</v>
      </c>
      <c r="W85" s="285">
        <f t="shared" si="17"/>
        <v>1459727703.1999998</v>
      </c>
      <c r="X85" s="242">
        <f t="shared" si="17"/>
        <v>992405885</v>
      </c>
      <c r="Y85" s="215">
        <f t="shared" si="17"/>
        <v>877313473.5</v>
      </c>
      <c r="Z85" s="285">
        <f t="shared" si="17"/>
        <v>862473836</v>
      </c>
      <c r="AA85" s="242">
        <f t="shared" si="17"/>
        <v>725266692</v>
      </c>
      <c r="AB85" s="215">
        <f t="shared" si="17"/>
        <v>773987393.79999995</v>
      </c>
      <c r="AC85" s="285">
        <f t="shared" si="17"/>
        <v>1075659878</v>
      </c>
      <c r="AD85" s="242">
        <f t="shared" si="17"/>
        <v>1046231245.8</v>
      </c>
      <c r="AE85" s="215">
        <f t="shared" si="17"/>
        <v>773320570.10000002</v>
      </c>
      <c r="AF85" s="285">
        <f t="shared" si="17"/>
        <v>887529745.94000006</v>
      </c>
      <c r="AG85" s="282">
        <f t="shared" si="17"/>
        <v>10867761808.34</v>
      </c>
      <c r="AH85" s="132">
        <f t="shared" si="17"/>
        <v>77494485.014519691</v>
      </c>
      <c r="AK85" s="149"/>
      <c r="AL85" s="149"/>
      <c r="AM85" s="149"/>
      <c r="AN85" s="149"/>
      <c r="AO85" s="149"/>
      <c r="AR85" s="473"/>
      <c r="AW85" s="473"/>
    </row>
    <row r="86" spans="1:50">
      <c r="G86" s="299"/>
      <c r="H86" s="207">
        <f>+D77-H77</f>
        <v>0</v>
      </c>
      <c r="W86" s="207">
        <v>762704651</v>
      </c>
      <c r="AK86" s="149"/>
    </row>
    <row r="87" spans="1:50" ht="15" thickBot="1">
      <c r="D87" s="1"/>
      <c r="E87" s="1"/>
      <c r="F87" s="1"/>
      <c r="G87" s="1"/>
      <c r="AK87" s="170"/>
      <c r="AL87" s="149"/>
    </row>
    <row r="88" spans="1:50" ht="15.75" thickBot="1">
      <c r="A88" s="273"/>
      <c r="B88" s="758" t="s">
        <v>118</v>
      </c>
      <c r="C88" s="759"/>
      <c r="D88" s="760"/>
      <c r="G88" s="503"/>
      <c r="W88" s="207">
        <f>+W86-W83</f>
        <v>-0.19999992847442627</v>
      </c>
    </row>
    <row r="89" spans="1:50">
      <c r="A89" s="274" t="s">
        <v>119</v>
      </c>
      <c r="B89" s="708" t="s">
        <v>123</v>
      </c>
      <c r="C89" s="709"/>
      <c r="D89" s="275">
        <f>+U85+V85+W85</f>
        <v>2853573088.1999998</v>
      </c>
    </row>
    <row r="90" spans="1:50">
      <c r="A90" s="276" t="s">
        <v>120</v>
      </c>
      <c r="B90" s="706" t="s">
        <v>124</v>
      </c>
      <c r="C90" s="707"/>
      <c r="D90" s="277">
        <f>+X85+Y85+Z85</f>
        <v>2732193194.5</v>
      </c>
    </row>
    <row r="91" spans="1:50">
      <c r="A91" s="276" t="s">
        <v>121</v>
      </c>
      <c r="B91" s="706" t="s">
        <v>125</v>
      </c>
      <c r="C91" s="707"/>
      <c r="D91" s="277">
        <f>+AA85+AB85+AC85</f>
        <v>2574913963.8000002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2707081561.8400002</v>
      </c>
    </row>
    <row r="93" spans="1:50" ht="15.75" customHeight="1" thickBot="1">
      <c r="A93" s="756" t="s">
        <v>117</v>
      </c>
      <c r="B93" s="757"/>
      <c r="C93" s="757"/>
      <c r="D93" s="280">
        <f>SUM(D89:D92)</f>
        <v>10867761808.34</v>
      </c>
    </row>
    <row r="97" spans="2:5" ht="15">
      <c r="B97" s="509" t="s">
        <v>234</v>
      </c>
      <c r="E97" s="1"/>
    </row>
    <row r="98" spans="2:5">
      <c r="B98" s="700" t="s">
        <v>250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1" spans="2:5">
      <c r="B101" s="510"/>
      <c r="C101" s="510"/>
      <c r="D101" s="510"/>
      <c r="E101" s="510"/>
    </row>
    <row r="102" spans="2:5" ht="15">
      <c r="B102" s="510"/>
      <c r="C102" s="512" t="s">
        <v>89</v>
      </c>
      <c r="D102" s="513">
        <v>23074542</v>
      </c>
      <c r="E102" s="510"/>
    </row>
    <row r="103" spans="2:5" ht="15">
      <c r="B103" s="510"/>
      <c r="C103" s="512" t="s">
        <v>110</v>
      </c>
      <c r="D103" s="513">
        <v>4887746</v>
      </c>
      <c r="E103" s="510"/>
    </row>
    <row r="104" spans="2:5" ht="15">
      <c r="C104" s="508" t="s">
        <v>236</v>
      </c>
      <c r="D104" s="511">
        <v>17734090</v>
      </c>
    </row>
    <row r="105" spans="2:5">
      <c r="D105" s="6">
        <f>SUM(D102:D104)</f>
        <v>45696378</v>
      </c>
      <c r="E105" s="298"/>
    </row>
  </sheetData>
  <autoFilter ref="A33:BA86" xr:uid="{00000000-0009-0000-0000-00000F000000}"/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BB103"/>
  <sheetViews>
    <sheetView topLeftCell="A30" zoomScale="70" zoomScaleNormal="70" workbookViewId="0">
      <selection activeCell="AF44" sqref="AF44"/>
    </sheetView>
  </sheetViews>
  <sheetFormatPr baseColWidth="10" defaultRowHeight="14.25"/>
  <cols>
    <col min="1" max="1" width="4.85546875" style="1" customWidth="1"/>
    <col min="2" max="2" width="43.85546875" style="1" bestFit="1" customWidth="1"/>
    <col min="3" max="3" width="41.7109375" style="1" customWidth="1"/>
    <col min="4" max="4" width="26.28515625" style="6" customWidth="1"/>
    <col min="5" max="5" width="16.85546875" style="4" customWidth="1"/>
    <col min="6" max="6" width="19.28515625" style="4" customWidth="1"/>
    <col min="7" max="7" width="22.28515625" style="4" customWidth="1"/>
    <col min="8" max="8" width="21.140625" style="207" customWidth="1"/>
    <col min="9" max="10" width="18.7109375" style="207" hidden="1" customWidth="1"/>
    <col min="11" max="11" width="18.85546875" style="207" hidden="1" customWidth="1"/>
    <col min="12" max="12" width="15.85546875" style="207" hidden="1" customWidth="1"/>
    <col min="13" max="13" width="15.7109375" style="207" hidden="1" customWidth="1"/>
    <col min="14" max="15" width="20.140625" style="207" hidden="1" customWidth="1"/>
    <col min="16" max="16" width="19.42578125" style="207" hidden="1" customWidth="1"/>
    <col min="17" max="17" width="19.140625" style="207" hidden="1" customWidth="1"/>
    <col min="18" max="18" width="15.7109375" style="207" hidden="1" customWidth="1"/>
    <col min="19" max="19" width="19.42578125" style="207" customWidth="1"/>
    <col min="20" max="20" width="18.28515625" style="207" customWidth="1"/>
    <col min="21" max="21" width="19.42578125" style="207" hidden="1" customWidth="1"/>
    <col min="22" max="22" width="19" style="207" hidden="1" customWidth="1"/>
    <col min="23" max="23" width="20.140625" style="207" hidden="1" customWidth="1"/>
    <col min="24" max="25" width="19.42578125" style="207" hidden="1" customWidth="1"/>
    <col min="26" max="27" width="20.140625" style="207" hidden="1" customWidth="1"/>
    <col min="28" max="28" width="19.42578125" style="207" hidden="1" customWidth="1"/>
    <col min="29" max="29" width="20.85546875" style="207" hidden="1" customWidth="1"/>
    <col min="30" max="30" width="20.140625" style="207" hidden="1" customWidth="1"/>
    <col min="31" max="31" width="19.140625" style="207" customWidth="1"/>
    <col min="32" max="32" width="18.28515625" style="207" customWidth="1"/>
    <col min="33" max="33" width="17" style="207" customWidth="1"/>
    <col min="34" max="34" width="18.85546875" style="1" customWidth="1"/>
    <col min="35" max="36" width="11.42578125" style="1" customWidth="1"/>
    <col min="37" max="37" width="14.140625" style="1" hidden="1" customWidth="1"/>
    <col min="38" max="38" width="16.5703125" style="1" hidden="1" customWidth="1"/>
    <col min="39" max="39" width="15.28515625" style="1" hidden="1" customWidth="1"/>
    <col min="40" max="40" width="14.7109375" style="1" hidden="1" customWidth="1"/>
    <col min="41" max="41" width="18.5703125" style="1" hidden="1" customWidth="1"/>
    <col min="42" max="42" width="13" style="1" hidden="1" customWidth="1"/>
    <col min="43" max="43" width="14" style="1" hidden="1" customWidth="1"/>
    <col min="44" max="44" width="14.5703125" style="1" hidden="1" customWidth="1"/>
    <col min="45" max="45" width="15.7109375" style="1" hidden="1" customWidth="1"/>
    <col min="46" max="46" width="17.85546875" style="1" hidden="1" customWidth="1"/>
    <col min="47" max="47" width="15" style="1" customWidth="1"/>
    <col min="48" max="48" width="19.140625" style="1" customWidth="1"/>
    <col min="49" max="49" width="16.42578125" style="1" customWidth="1"/>
    <col min="50" max="50" width="21" style="1" customWidth="1"/>
    <col min="51" max="51" width="16.5703125" style="1" bestFit="1" customWidth="1"/>
    <col min="52" max="52" width="17.42578125" style="1" bestFit="1" customWidth="1"/>
    <col min="53" max="53" width="17.140625" style="1" bestFit="1" customWidth="1"/>
    <col min="54" max="54" width="14" style="1" bestFit="1" customWidth="1"/>
    <col min="55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137</v>
      </c>
    </row>
    <row r="11" spans="1:34">
      <c r="B11" s="3" t="s">
        <v>138</v>
      </c>
    </row>
    <row r="12" spans="1:34">
      <c r="B12" s="3" t="s">
        <v>70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98" t="s">
        <v>25</v>
      </c>
      <c r="F14" s="745"/>
      <c r="G14" s="746"/>
      <c r="H14" s="774" t="s">
        <v>38</v>
      </c>
      <c r="I14" s="775"/>
      <c r="J14" s="775"/>
      <c r="K14" s="775"/>
      <c r="L14" s="775"/>
      <c r="M14" s="775"/>
      <c r="N14" s="775"/>
      <c r="O14" s="775"/>
      <c r="P14" s="775"/>
      <c r="Q14" s="775"/>
      <c r="R14" s="775"/>
      <c r="S14" s="775"/>
      <c r="T14" s="797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1817722387*12</f>
        <v>21812668644</v>
      </c>
      <c r="E16" s="22"/>
      <c r="F16" s="23"/>
      <c r="G16" s="24"/>
      <c r="H16" s="322">
        <f>SUM(I16:T16)</f>
        <v>21812668644</v>
      </c>
      <c r="I16" s="250">
        <v>1817722387</v>
      </c>
      <c r="J16" s="217">
        <v>1817722387</v>
      </c>
      <c r="K16" s="217">
        <v>1817722387</v>
      </c>
      <c r="L16" s="217">
        <v>1817722387</v>
      </c>
      <c r="M16" s="212">
        <v>1817722387</v>
      </c>
      <c r="N16" s="217">
        <v>1817722387</v>
      </c>
      <c r="O16" s="212">
        <v>1817722387</v>
      </c>
      <c r="P16" s="212">
        <v>1817722387</v>
      </c>
      <c r="Q16" s="212">
        <v>1817722387</v>
      </c>
      <c r="R16" s="212">
        <v>1817722387</v>
      </c>
      <c r="S16" s="212">
        <v>1817722387</v>
      </c>
      <c r="T16" s="248">
        <v>1817722387</v>
      </c>
      <c r="U16" s="234">
        <v>1817722387</v>
      </c>
      <c r="V16" s="217">
        <v>1817722387</v>
      </c>
      <c r="W16" s="217">
        <v>1817722387</v>
      </c>
      <c r="X16" s="209">
        <v>1817722387</v>
      </c>
      <c r="Y16" s="209">
        <v>1817722387</v>
      </c>
      <c r="Z16" s="217">
        <v>1817722387</v>
      </c>
      <c r="AA16" s="209">
        <v>1817722387</v>
      </c>
      <c r="AB16" s="209">
        <v>1817722387</v>
      </c>
      <c r="AC16" s="209">
        <v>1817722387</v>
      </c>
      <c r="AD16" s="209">
        <v>1817722387</v>
      </c>
      <c r="AE16" s="209">
        <f>1454177910+363544477</f>
        <v>1817722387</v>
      </c>
      <c r="AF16" s="225">
        <v>1817722387</v>
      </c>
      <c r="AG16" s="226">
        <f>SUM(U16:AF16)</f>
        <v>21812668644</v>
      </c>
      <c r="AH16" s="123">
        <f>+H16-AG16</f>
        <v>0</v>
      </c>
    </row>
    <row r="17" spans="1:48" ht="15" hidden="1">
      <c r="A17" s="11">
        <v>2</v>
      </c>
      <c r="B17" s="7" t="s">
        <v>27</v>
      </c>
      <c r="C17" s="147" t="s">
        <v>29</v>
      </c>
      <c r="D17" s="13"/>
      <c r="E17" s="15"/>
      <c r="F17" s="14"/>
      <c r="G17" s="16"/>
      <c r="H17" s="322">
        <f t="shared" ref="H17:H29" si="0">SUM(I17:T17)</f>
        <v>0</v>
      </c>
      <c r="I17" s="252"/>
      <c r="J17" s="217">
        <v>0</v>
      </c>
      <c r="K17" s="206"/>
      <c r="L17" s="217">
        <v>0</v>
      </c>
      <c r="M17" s="206">
        <v>0</v>
      </c>
      <c r="N17" s="217">
        <v>0</v>
      </c>
      <c r="O17" s="206">
        <v>0</v>
      </c>
      <c r="P17" s="206">
        <v>0</v>
      </c>
      <c r="Q17" s="206">
        <v>0</v>
      </c>
      <c r="R17" s="206">
        <v>0</v>
      </c>
      <c r="S17" s="206">
        <v>0</v>
      </c>
      <c r="T17" s="227">
        <v>0</v>
      </c>
      <c r="U17" s="235">
        <v>0</v>
      </c>
      <c r="V17" s="217">
        <v>0</v>
      </c>
      <c r="W17" s="217">
        <v>0</v>
      </c>
      <c r="X17" s="206">
        <v>0</v>
      </c>
      <c r="Y17" s="206">
        <v>0</v>
      </c>
      <c r="Z17" s="217">
        <v>0</v>
      </c>
      <c r="AA17" s="206">
        <v>0</v>
      </c>
      <c r="AB17" s="206">
        <v>0</v>
      </c>
      <c r="AC17" s="206">
        <v>0</v>
      </c>
      <c r="AD17" s="206">
        <v>0</v>
      </c>
      <c r="AE17" s="206">
        <v>0</v>
      </c>
      <c r="AF17" s="227">
        <v>0</v>
      </c>
      <c r="AG17" s="228">
        <f t="shared" ref="AG17:AG28" si="1">SUM(U17:AF17)</f>
        <v>0</v>
      </c>
      <c r="AH17" s="124">
        <f t="shared" ref="AH17:AH30" si="2">+H17-AG17</f>
        <v>0</v>
      </c>
    </row>
    <row r="18" spans="1:48" ht="15">
      <c r="A18" s="11">
        <v>3</v>
      </c>
      <c r="B18" s="7" t="s">
        <v>28</v>
      </c>
      <c r="C18" s="147" t="s">
        <v>29</v>
      </c>
      <c r="D18" s="13">
        <f>-2503240*12</f>
        <v>-30038880</v>
      </c>
      <c r="E18" s="15"/>
      <c r="F18" s="14"/>
      <c r="G18" s="16"/>
      <c r="H18" s="322">
        <f t="shared" si="0"/>
        <v>-30038880</v>
      </c>
      <c r="I18" s="252">
        <v>-2503240</v>
      </c>
      <c r="J18" s="217">
        <v>-2503240</v>
      </c>
      <c r="K18" s="217">
        <v>-2503240</v>
      </c>
      <c r="L18" s="217">
        <v>-2503240</v>
      </c>
      <c r="M18" s="206">
        <v>-2503240</v>
      </c>
      <c r="N18" s="217">
        <v>-2503240</v>
      </c>
      <c r="O18" s="206">
        <v>-2503240</v>
      </c>
      <c r="P18" s="206">
        <v>-2503240</v>
      </c>
      <c r="Q18" s="206">
        <v>-2503240</v>
      </c>
      <c r="R18" s="206">
        <v>-2503240</v>
      </c>
      <c r="S18" s="206">
        <v>-2503240</v>
      </c>
      <c r="T18" s="227">
        <v>-2503240</v>
      </c>
      <c r="U18" s="235">
        <v>-2503240</v>
      </c>
      <c r="V18" s="217">
        <v>-2503240</v>
      </c>
      <c r="W18" s="217">
        <v>-2503240</v>
      </c>
      <c r="X18" s="206">
        <v>-2503240</v>
      </c>
      <c r="Y18" s="206">
        <v>-2503240</v>
      </c>
      <c r="Z18" s="217">
        <v>-2503240</v>
      </c>
      <c r="AA18" s="206">
        <v>-2503240</v>
      </c>
      <c r="AB18" s="206">
        <v>-2503240</v>
      </c>
      <c r="AC18" s="206">
        <v>-2503240</v>
      </c>
      <c r="AD18" s="206">
        <v>-2503240</v>
      </c>
      <c r="AE18" s="206">
        <v>-2503240</v>
      </c>
      <c r="AF18" s="227">
        <v>-2503240</v>
      </c>
      <c r="AG18" s="228">
        <f t="shared" si="1"/>
        <v>-30038880</v>
      </c>
      <c r="AH18" s="124">
        <f t="shared" si="2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-18668347*12</f>
        <v>-224020164</v>
      </c>
      <c r="E19" s="15"/>
      <c r="F19" s="14"/>
      <c r="G19" s="16"/>
      <c r="H19" s="322">
        <f t="shared" si="0"/>
        <v>-251255582</v>
      </c>
      <c r="I19" s="252">
        <v>-18668347</v>
      </c>
      <c r="J19" s="217">
        <v>-18668347</v>
      </c>
      <c r="K19" s="217">
        <v>-18668347</v>
      </c>
      <c r="L19" s="217">
        <v>-18668347</v>
      </c>
      <c r="M19" s="206">
        <v>-18668347</v>
      </c>
      <c r="N19" s="217">
        <v>-18668347</v>
      </c>
      <c r="O19" s="206">
        <v>-18668347</v>
      </c>
      <c r="P19" s="206">
        <v>-23774510</v>
      </c>
      <c r="Q19" s="206">
        <v>-23774510</v>
      </c>
      <c r="R19" s="206">
        <v>-24342711</v>
      </c>
      <c r="S19" s="206">
        <v>-24342711</v>
      </c>
      <c r="T19" s="227">
        <v>-24342711</v>
      </c>
      <c r="U19" s="235">
        <v>-18668347</v>
      </c>
      <c r="V19" s="217">
        <v>-18668347</v>
      </c>
      <c r="W19" s="217">
        <v>-18668347</v>
      </c>
      <c r="X19" s="206">
        <v>-18668347</v>
      </c>
      <c r="Y19" s="206">
        <v>-18668347</v>
      </c>
      <c r="Z19" s="217">
        <v>-18668347</v>
      </c>
      <c r="AA19" s="206">
        <v>-18668347</v>
      </c>
      <c r="AB19" s="206">
        <v>-23774510</v>
      </c>
      <c r="AC19" s="206">
        <v>-23774510</v>
      </c>
      <c r="AD19" s="206">
        <v>-24342711</v>
      </c>
      <c r="AE19" s="206">
        <v>-24342711</v>
      </c>
      <c r="AF19" s="227">
        <v>-24342711</v>
      </c>
      <c r="AG19" s="228">
        <f>SUM(U19:AF19)</f>
        <v>-251255582</v>
      </c>
      <c r="AH19" s="124">
        <f t="shared" si="2"/>
        <v>0</v>
      </c>
    </row>
    <row r="20" spans="1:48" ht="29.25">
      <c r="A20" s="11">
        <v>5</v>
      </c>
      <c r="B20" s="10" t="s">
        <v>31</v>
      </c>
      <c r="C20" s="147" t="s">
        <v>29</v>
      </c>
      <c r="D20" s="13">
        <f>34819442*12</f>
        <v>417833304</v>
      </c>
      <c r="E20" s="15"/>
      <c r="F20" s="14"/>
      <c r="G20" s="16"/>
      <c r="H20" s="322">
        <f t="shared" si="0"/>
        <v>417833314.741</v>
      </c>
      <c r="I20" s="252">
        <v>34819442</v>
      </c>
      <c r="J20" s="217">
        <v>34819443</v>
      </c>
      <c r="K20" s="217">
        <v>34819443</v>
      </c>
      <c r="L20" s="65">
        <v>34819443</v>
      </c>
      <c r="M20" s="206">
        <v>34819443</v>
      </c>
      <c r="N20" s="65">
        <v>34819443</v>
      </c>
      <c r="O20" s="206">
        <v>34819443</v>
      </c>
      <c r="P20" s="206">
        <v>34819443</v>
      </c>
      <c r="Q20" s="206">
        <v>34819443</v>
      </c>
      <c r="R20" s="206">
        <v>34819443</v>
      </c>
      <c r="S20" s="206">
        <v>34819443</v>
      </c>
      <c r="T20" s="227">
        <v>34819442.741000004</v>
      </c>
      <c r="U20" s="235">
        <v>34819442</v>
      </c>
      <c r="V20" s="217">
        <v>34819443</v>
      </c>
      <c r="W20" s="217">
        <v>34819443</v>
      </c>
      <c r="X20" s="65">
        <v>34819443</v>
      </c>
      <c r="Y20" s="206">
        <v>34819443</v>
      </c>
      <c r="Z20" s="65">
        <v>34819443</v>
      </c>
      <c r="AA20" s="206">
        <v>34819443</v>
      </c>
      <c r="AB20" s="206">
        <v>34819443</v>
      </c>
      <c r="AC20" s="206">
        <v>34819443</v>
      </c>
      <c r="AD20" s="206">
        <v>34819443</v>
      </c>
      <c r="AE20" s="206">
        <v>34819443</v>
      </c>
      <c r="AF20" s="227">
        <v>34819442.741000004</v>
      </c>
      <c r="AG20" s="228">
        <f t="shared" si="1"/>
        <v>417833314.741</v>
      </c>
      <c r="AH20" s="124">
        <f t="shared" si="2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2031550*12</f>
        <v>24378600</v>
      </c>
      <c r="E21" s="15"/>
      <c r="F21" s="14"/>
      <c r="G21" s="16"/>
      <c r="H21" s="322">
        <f t="shared" si="0"/>
        <v>24851665.420000002</v>
      </c>
      <c r="I21" s="252">
        <v>2031550</v>
      </c>
      <c r="J21" s="217">
        <v>2013988</v>
      </c>
      <c r="K21" s="217">
        <v>2088437.4200000002</v>
      </c>
      <c r="L21" s="65">
        <v>2088437</v>
      </c>
      <c r="M21" s="206">
        <v>2088437</v>
      </c>
      <c r="N21" s="65">
        <v>2088437</v>
      </c>
      <c r="O21" s="206">
        <v>2088437</v>
      </c>
      <c r="P21" s="206">
        <v>2088437</v>
      </c>
      <c r="Q21" s="206">
        <v>2088437</v>
      </c>
      <c r="R21" s="206">
        <v>2088437</v>
      </c>
      <c r="S21" s="206">
        <v>2088437</v>
      </c>
      <c r="T21" s="227">
        <v>2010194</v>
      </c>
      <c r="U21" s="235">
        <v>2031550</v>
      </c>
      <c r="V21" s="217">
        <v>2013988</v>
      </c>
      <c r="W21" s="217">
        <v>2088437</v>
      </c>
      <c r="X21" s="65">
        <v>2088437</v>
      </c>
      <c r="Y21" s="206">
        <v>2088437</v>
      </c>
      <c r="Z21" s="65">
        <v>2088437</v>
      </c>
      <c r="AA21" s="206">
        <v>2088437</v>
      </c>
      <c r="AB21" s="206">
        <v>2088437</v>
      </c>
      <c r="AC21" s="206">
        <v>2088437</v>
      </c>
      <c r="AD21" s="206">
        <v>2088437</v>
      </c>
      <c r="AE21" s="206">
        <v>2088437</v>
      </c>
      <c r="AF21" s="227">
        <v>2010194</v>
      </c>
      <c r="AG21" s="228">
        <f t="shared" si="1"/>
        <v>24851665</v>
      </c>
      <c r="AH21" s="124">
        <f t="shared" si="2"/>
        <v>0.42000000178813934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22">
        <f t="shared" si="0"/>
        <v>1080570776</v>
      </c>
      <c r="I22" s="252"/>
      <c r="J22" s="217"/>
      <c r="K22" s="217"/>
      <c r="L22" s="65">
        <v>271912150</v>
      </c>
      <c r="M22" s="206"/>
      <c r="N22" s="65">
        <v>271157234</v>
      </c>
      <c r="O22" s="206"/>
      <c r="P22" s="206"/>
      <c r="Q22" s="206">
        <v>268092012</v>
      </c>
      <c r="R22" s="206"/>
      <c r="S22" s="206"/>
      <c r="T22" s="227">
        <v>269409380</v>
      </c>
      <c r="U22" s="235"/>
      <c r="V22" s="217"/>
      <c r="W22" s="217"/>
      <c r="X22" s="65">
        <v>271912150</v>
      </c>
      <c r="Y22" s="206"/>
      <c r="Z22" s="65">
        <v>271157234</v>
      </c>
      <c r="AA22" s="206"/>
      <c r="AB22" s="206"/>
      <c r="AC22" s="206">
        <v>268092012</v>
      </c>
      <c r="AD22" s="206"/>
      <c r="AE22" s="206"/>
      <c r="AF22" s="227">
        <v>269409380</v>
      </c>
      <c r="AG22" s="228">
        <f>SUM(U22:AF22)</f>
        <v>1080570776</v>
      </c>
      <c r="AH22" s="124">
        <f>+H22-AG22</f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22">
        <f t="shared" si="0"/>
        <v>1248426791</v>
      </c>
      <c r="I23" s="252"/>
      <c r="J23" s="217"/>
      <c r="K23" s="217"/>
      <c r="L23" s="65">
        <v>314150907</v>
      </c>
      <c r="M23" s="206"/>
      <c r="N23" s="65">
        <v>313278726</v>
      </c>
      <c r="O23" s="206"/>
      <c r="P23" s="206"/>
      <c r="Q23" s="206">
        <v>309737692</v>
      </c>
      <c r="R23" s="206"/>
      <c r="S23" s="206"/>
      <c r="T23" s="227">
        <v>311259466</v>
      </c>
      <c r="U23" s="235"/>
      <c r="V23" s="217"/>
      <c r="W23" s="217"/>
      <c r="X23" s="65">
        <v>314150907</v>
      </c>
      <c r="Y23" s="206"/>
      <c r="Z23" s="65">
        <v>313278726</v>
      </c>
      <c r="AA23" s="206"/>
      <c r="AB23" s="206"/>
      <c r="AC23" s="206">
        <v>309737692</v>
      </c>
      <c r="AD23" s="206"/>
      <c r="AE23" s="206"/>
      <c r="AF23" s="227">
        <v>311259466</v>
      </c>
      <c r="AG23" s="228">
        <f>SUM(U23:AF23)</f>
        <v>1248426791</v>
      </c>
      <c r="AH23" s="124">
        <f>+H23-AG23</f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2392422*12</f>
        <v>28709064</v>
      </c>
      <c r="E24" s="15"/>
      <c r="F24" s="14"/>
      <c r="G24" s="16"/>
      <c r="H24" s="322">
        <f t="shared" si="0"/>
        <v>28709064</v>
      </c>
      <c r="I24" s="252">
        <v>2392422</v>
      </c>
      <c r="J24" s="217">
        <v>2392422</v>
      </c>
      <c r="K24" s="217">
        <v>2392422</v>
      </c>
      <c r="L24" s="65">
        <v>2392422</v>
      </c>
      <c r="M24" s="206">
        <v>2392422</v>
      </c>
      <c r="N24" s="65">
        <v>2392422</v>
      </c>
      <c r="O24" s="206">
        <v>2392422</v>
      </c>
      <c r="P24" s="206">
        <v>2392422</v>
      </c>
      <c r="Q24" s="206">
        <v>2392422</v>
      </c>
      <c r="R24" s="206">
        <v>2392422</v>
      </c>
      <c r="S24" s="206">
        <v>2392422</v>
      </c>
      <c r="T24" s="227">
        <v>2392422</v>
      </c>
      <c r="U24" s="235">
        <v>2392422</v>
      </c>
      <c r="V24" s="217">
        <v>2392422</v>
      </c>
      <c r="W24" s="217">
        <v>2392422</v>
      </c>
      <c r="X24" s="65">
        <v>2392422</v>
      </c>
      <c r="Y24" s="206">
        <v>2392422</v>
      </c>
      <c r="Z24" s="65">
        <v>2392422</v>
      </c>
      <c r="AA24" s="206">
        <v>2392422</v>
      </c>
      <c r="AB24" s="206">
        <v>2392422</v>
      </c>
      <c r="AC24" s="206">
        <v>2392422</v>
      </c>
      <c r="AD24" s="206">
        <v>2392422</v>
      </c>
      <c r="AE24" s="206">
        <v>2392422</v>
      </c>
      <c r="AF24" s="227">
        <v>2392422</v>
      </c>
      <c r="AG24" s="228">
        <f t="shared" si="1"/>
        <v>28709064</v>
      </c>
      <c r="AH24" s="124">
        <f t="shared" si="2"/>
        <v>0</v>
      </c>
    </row>
    <row r="25" spans="1:48" ht="15">
      <c r="A25" s="11">
        <v>8</v>
      </c>
      <c r="B25" s="7" t="s">
        <v>35</v>
      </c>
      <c r="C25" s="147" t="s">
        <v>29</v>
      </c>
      <c r="D25" s="13">
        <f>9958261*12</f>
        <v>119499132</v>
      </c>
      <c r="E25" s="15"/>
      <c r="F25" s="14"/>
      <c r="G25" s="16"/>
      <c r="H25" s="322">
        <f t="shared" si="0"/>
        <v>119499132.22712</v>
      </c>
      <c r="I25" s="252">
        <v>9958261</v>
      </c>
      <c r="J25" s="217">
        <v>9958261</v>
      </c>
      <c r="K25" s="217">
        <v>9958261.227119999</v>
      </c>
      <c r="L25" s="65">
        <v>9958261</v>
      </c>
      <c r="M25" s="206">
        <v>9958261</v>
      </c>
      <c r="N25" s="65">
        <v>9958261</v>
      </c>
      <c r="O25" s="206">
        <v>9958261</v>
      </c>
      <c r="P25" s="206">
        <v>9958261</v>
      </c>
      <c r="Q25" s="206">
        <v>9958261</v>
      </c>
      <c r="R25" s="206">
        <v>9958261</v>
      </c>
      <c r="S25" s="206">
        <v>9958261</v>
      </c>
      <c r="T25" s="227">
        <v>9958261</v>
      </c>
      <c r="U25" s="235">
        <v>9958261</v>
      </c>
      <c r="V25" s="217">
        <v>9958261</v>
      </c>
      <c r="W25" s="217">
        <v>9958261</v>
      </c>
      <c r="X25" s="65">
        <v>9958261</v>
      </c>
      <c r="Y25" s="206">
        <v>9958261</v>
      </c>
      <c r="Z25" s="65">
        <v>9958261</v>
      </c>
      <c r="AA25" s="206">
        <v>9958261</v>
      </c>
      <c r="AB25" s="206">
        <v>9958261</v>
      </c>
      <c r="AC25" s="206">
        <v>9958261</v>
      </c>
      <c r="AD25" s="206">
        <v>9958261</v>
      </c>
      <c r="AE25" s="206">
        <v>9958261</v>
      </c>
      <c r="AF25" s="227">
        <v>9958261</v>
      </c>
      <c r="AG25" s="228">
        <f t="shared" si="1"/>
        <v>119499132</v>
      </c>
      <c r="AH25" s="124">
        <f t="shared" si="2"/>
        <v>0.22711999714374542</v>
      </c>
    </row>
    <row r="26" spans="1:48" ht="15">
      <c r="A26" s="51">
        <v>9</v>
      </c>
      <c r="B26" s="52" t="s">
        <v>34</v>
      </c>
      <c r="C26" s="148" t="s">
        <v>29</v>
      </c>
      <c r="D26" s="13">
        <f>7747601*12</f>
        <v>92971212</v>
      </c>
      <c r="E26" s="15"/>
      <c r="F26" s="14"/>
      <c r="G26" s="16"/>
      <c r="H26" s="322">
        <f t="shared" si="0"/>
        <v>92971212</v>
      </c>
      <c r="I26" s="252">
        <v>7747601</v>
      </c>
      <c r="J26" s="217">
        <v>7747601</v>
      </c>
      <c r="K26" s="217">
        <v>7747601</v>
      </c>
      <c r="L26" s="65">
        <v>7747601</v>
      </c>
      <c r="M26" s="206">
        <v>7747601</v>
      </c>
      <c r="N26" s="65">
        <v>7747601</v>
      </c>
      <c r="O26" s="206">
        <v>7747601</v>
      </c>
      <c r="P26" s="206">
        <v>7747601</v>
      </c>
      <c r="Q26" s="206">
        <v>7747601</v>
      </c>
      <c r="R26" s="206">
        <v>7747601</v>
      </c>
      <c r="S26" s="206">
        <v>7747601</v>
      </c>
      <c r="T26" s="227">
        <v>7747601</v>
      </c>
      <c r="U26" s="235">
        <v>7747601</v>
      </c>
      <c r="V26" s="217">
        <v>7747601</v>
      </c>
      <c r="W26" s="217">
        <v>7747601</v>
      </c>
      <c r="X26" s="65">
        <v>7747601</v>
      </c>
      <c r="Y26" s="206">
        <v>7747601</v>
      </c>
      <c r="Z26" s="65">
        <v>7747601</v>
      </c>
      <c r="AA26" s="206">
        <v>7747601</v>
      </c>
      <c r="AB26" s="206">
        <v>7747601</v>
      </c>
      <c r="AC26" s="206">
        <v>7747601</v>
      </c>
      <c r="AD26" s="206">
        <v>7747601</v>
      </c>
      <c r="AE26" s="206">
        <v>7747601</v>
      </c>
      <c r="AF26" s="227">
        <v>7747601</v>
      </c>
      <c r="AG26" s="228">
        <f t="shared" si="1"/>
        <v>92971212</v>
      </c>
      <c r="AH26" s="124">
        <f t="shared" si="2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2">
        <f t="shared" si="0"/>
        <v>408554207</v>
      </c>
      <c r="I27" s="252"/>
      <c r="J27" s="217"/>
      <c r="K27" s="217"/>
      <c r="L27" s="65"/>
      <c r="M27" s="206"/>
      <c r="N27" s="65"/>
      <c r="O27" s="206">
        <v>367643722</v>
      </c>
      <c r="P27" s="206"/>
      <c r="Q27" s="206">
        <v>40910485</v>
      </c>
      <c r="R27" s="206"/>
      <c r="S27" s="206"/>
      <c r="T27" s="227"/>
      <c r="U27" s="235"/>
      <c r="V27" s="217"/>
      <c r="W27" s="217"/>
      <c r="X27" s="65"/>
      <c r="Y27" s="206"/>
      <c r="Z27" s="65"/>
      <c r="AA27" s="206">
        <v>367643722</v>
      </c>
      <c r="AB27" s="206"/>
      <c r="AC27" s="65">
        <v>40910485</v>
      </c>
      <c r="AD27" s="206"/>
      <c r="AE27" s="206"/>
      <c r="AF27" s="227"/>
      <c r="AG27" s="228">
        <f t="shared" si="1"/>
        <v>408554207</v>
      </c>
      <c r="AH27" s="124">
        <f t="shared" si="2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2">
        <f t="shared" si="0"/>
        <v>390927439</v>
      </c>
      <c r="I28" s="252"/>
      <c r="J28" s="217"/>
      <c r="K28" s="217"/>
      <c r="L28" s="65"/>
      <c r="M28" s="206"/>
      <c r="N28" s="65"/>
      <c r="O28" s="206">
        <v>351876521</v>
      </c>
      <c r="P28" s="206"/>
      <c r="Q28" s="206">
        <v>39050918</v>
      </c>
      <c r="R28" s="206"/>
      <c r="S28" s="206"/>
      <c r="T28" s="227"/>
      <c r="U28" s="235"/>
      <c r="V28" s="217"/>
      <c r="W28" s="217"/>
      <c r="X28" s="65"/>
      <c r="Y28" s="206"/>
      <c r="Z28" s="65"/>
      <c r="AA28" s="206">
        <v>351876521</v>
      </c>
      <c r="AB28" s="206"/>
      <c r="AC28" s="65">
        <v>39050918</v>
      </c>
      <c r="AD28" s="206"/>
      <c r="AE28" s="206"/>
      <c r="AF28" s="227"/>
      <c r="AG28" s="228">
        <f t="shared" si="1"/>
        <v>390927439</v>
      </c>
      <c r="AH28" s="124">
        <f t="shared" si="2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22">
        <f t="shared" si="0"/>
        <v>113344147.60384713</v>
      </c>
      <c r="I29" s="252"/>
      <c r="J29" s="217"/>
      <c r="K29" s="217"/>
      <c r="L29" s="65"/>
      <c r="M29" s="206"/>
      <c r="N29" s="65"/>
      <c r="O29" s="206"/>
      <c r="P29" s="206"/>
      <c r="Q29" s="206"/>
      <c r="R29" s="206"/>
      <c r="S29" s="206">
        <v>113344147.60384713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65"/>
      <c r="AD29" s="206"/>
      <c r="AE29" s="206">
        <v>113344147.60384713</v>
      </c>
      <c r="AF29" s="227"/>
      <c r="AG29" s="228">
        <f>SUM(U29:AF29)</f>
        <v>113344147.60384713</v>
      </c>
      <c r="AH29" s="124">
        <f>+H29-AG29</f>
        <v>0</v>
      </c>
    </row>
    <row r="30" spans="1:48" ht="15.75" thickBot="1">
      <c r="A30" s="794" t="s">
        <v>36</v>
      </c>
      <c r="B30" s="795"/>
      <c r="C30" s="94"/>
      <c r="D30" s="95">
        <f>SUM(D16:D26)</f>
        <v>22242000912</v>
      </c>
      <c r="E30" s="96"/>
      <c r="F30" s="97"/>
      <c r="G30" s="98"/>
      <c r="H30" s="323">
        <f>SUM(H16:H28)</f>
        <v>25343717783.388119</v>
      </c>
      <c r="I30" s="313">
        <f>SUM(I16:I28)</f>
        <v>1853500076</v>
      </c>
      <c r="J30" s="313">
        <f t="shared" ref="J30:O30" si="3">SUM(J16:J28)</f>
        <v>1853482515</v>
      </c>
      <c r="K30" s="313">
        <f t="shared" si="3"/>
        <v>1853556964.64712</v>
      </c>
      <c r="L30" s="313">
        <f t="shared" si="3"/>
        <v>2439620021</v>
      </c>
      <c r="M30" s="313">
        <f t="shared" si="3"/>
        <v>1853556964</v>
      </c>
      <c r="N30" s="313">
        <f t="shared" si="3"/>
        <v>2437992924</v>
      </c>
      <c r="O30" s="313">
        <f t="shared" si="3"/>
        <v>2573077207</v>
      </c>
      <c r="P30" s="313">
        <f t="shared" ref="P30:AF30" si="4">SUM(P16:P28)</f>
        <v>1848450801</v>
      </c>
      <c r="Q30" s="313">
        <f t="shared" si="4"/>
        <v>2506241908</v>
      </c>
      <c r="R30" s="313">
        <f t="shared" si="4"/>
        <v>1847882600</v>
      </c>
      <c r="S30" s="313">
        <f t="shared" si="4"/>
        <v>1847882600</v>
      </c>
      <c r="T30" s="313">
        <f t="shared" si="4"/>
        <v>2428473202.7410002</v>
      </c>
      <c r="U30" s="245">
        <f t="shared" si="4"/>
        <v>1853500076</v>
      </c>
      <c r="V30" s="245">
        <f t="shared" si="4"/>
        <v>1853482515</v>
      </c>
      <c r="W30" s="245">
        <f t="shared" si="4"/>
        <v>1853556964</v>
      </c>
      <c r="X30" s="245">
        <f t="shared" si="4"/>
        <v>2439620021</v>
      </c>
      <c r="Y30" s="245">
        <f t="shared" si="4"/>
        <v>1853556964</v>
      </c>
      <c r="Z30" s="245">
        <f t="shared" si="4"/>
        <v>2437992924</v>
      </c>
      <c r="AA30" s="245">
        <f t="shared" si="4"/>
        <v>2573077207</v>
      </c>
      <c r="AB30" s="245">
        <f t="shared" si="4"/>
        <v>1848450801</v>
      </c>
      <c r="AC30" s="245">
        <f t="shared" si="4"/>
        <v>2506241908</v>
      </c>
      <c r="AD30" s="245">
        <f t="shared" si="4"/>
        <v>1847882600</v>
      </c>
      <c r="AE30" s="245">
        <f t="shared" si="4"/>
        <v>1847882600</v>
      </c>
      <c r="AF30" s="245">
        <f t="shared" si="4"/>
        <v>2428473202.7410002</v>
      </c>
      <c r="AG30" s="337">
        <f>SUM(U30:AF30)</f>
        <v>25343717782.741001</v>
      </c>
      <c r="AH30" s="120">
        <f t="shared" si="2"/>
        <v>0.64711761474609375</v>
      </c>
    </row>
    <row r="31" spans="1:48" ht="15" thickBot="1">
      <c r="B31" s="207"/>
      <c r="C31" s="170"/>
      <c r="D31" s="265">
        <v>49751796</v>
      </c>
      <c r="E31" s="5">
        <v>0.7</v>
      </c>
      <c r="F31" s="5">
        <v>0.3</v>
      </c>
      <c r="G31" s="5">
        <v>8.3333333333333343E-2</v>
      </c>
      <c r="H31" s="149">
        <f>100%/3</f>
        <v>0.33333333333333331</v>
      </c>
      <c r="AT31" s="6">
        <v>20164259</v>
      </c>
      <c r="AU31" s="6">
        <v>13040705</v>
      </c>
    </row>
    <row r="32" spans="1:48" ht="44.25" customHeight="1" thickBot="1">
      <c r="A32" s="80"/>
      <c r="B32" s="731" t="s">
        <v>72</v>
      </c>
      <c r="C32" s="731"/>
      <c r="D32" s="732"/>
      <c r="E32" s="796" t="s">
        <v>25</v>
      </c>
      <c r="F32" s="731"/>
      <c r="G32" s="732"/>
      <c r="H32" s="774" t="s">
        <v>38</v>
      </c>
      <c r="I32" s="775"/>
      <c r="J32" s="775"/>
      <c r="K32" s="775"/>
      <c r="L32" s="775"/>
      <c r="M32" s="775"/>
      <c r="N32" s="775"/>
      <c r="O32" s="775"/>
      <c r="P32" s="775"/>
      <c r="Q32" s="775"/>
      <c r="R32" s="775"/>
      <c r="S32" s="775"/>
      <c r="T32" s="797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4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7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4" ht="15.75" thickBot="1">
      <c r="A34" s="573">
        <v>1</v>
      </c>
      <c r="B34" s="608" t="s">
        <v>99</v>
      </c>
      <c r="C34" s="615">
        <v>1395</v>
      </c>
      <c r="D34" s="610">
        <v>3537574</v>
      </c>
      <c r="E34" s="611">
        <f>+D34*E31</f>
        <v>2476301.7999999998</v>
      </c>
      <c r="F34" s="612">
        <f>+D34*F31</f>
        <v>1061272.2</v>
      </c>
      <c r="G34" s="613"/>
      <c r="H34" s="334">
        <f>SUM(I34:T34)</f>
        <v>3537574</v>
      </c>
      <c r="I34" s="331"/>
      <c r="J34" s="249"/>
      <c r="K34" s="250">
        <v>2476301.7999999998</v>
      </c>
      <c r="L34" s="212"/>
      <c r="M34" s="212"/>
      <c r="N34" s="212"/>
      <c r="O34" s="212"/>
      <c r="P34" s="212"/>
      <c r="Q34" s="212"/>
      <c r="R34" s="212">
        <v>1061272.2</v>
      </c>
      <c r="S34" s="212"/>
      <c r="T34" s="248"/>
      <c r="U34" s="234"/>
      <c r="V34" s="220"/>
      <c r="W34" s="209">
        <v>2476301.7999999998</v>
      </c>
      <c r="X34" s="209"/>
      <c r="Y34" s="209"/>
      <c r="Z34" s="209"/>
      <c r="AA34" s="209"/>
      <c r="AB34" s="209"/>
      <c r="AC34" s="209"/>
      <c r="AD34" s="209">
        <v>1061272.2</v>
      </c>
      <c r="AE34" s="209"/>
      <c r="AF34" s="209"/>
      <c r="AG34" s="218">
        <f>SUM(U34:AF34)</f>
        <v>3537574</v>
      </c>
      <c r="AH34" s="123">
        <f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>
        <v>1495243.7167797347</v>
      </c>
      <c r="AT34" s="209"/>
      <c r="AU34" s="209">
        <v>419548.95775592473</v>
      </c>
      <c r="AV34" s="225"/>
      <c r="AW34" s="226">
        <f>SUM(AK34:AV34)</f>
        <v>1914792.6745356594</v>
      </c>
      <c r="AX34" s="123">
        <f>+AG34-AW34</f>
        <v>1622781.3254643406</v>
      </c>
      <c r="AY34" s="170">
        <v>16646820</v>
      </c>
      <c r="AZ34" s="149">
        <v>1</v>
      </c>
      <c r="BA34" s="149">
        <f>+(AW34*AZ34)/AY35</f>
        <v>3.2274619744609483E-2</v>
      </c>
      <c r="BB34" s="207">
        <f>+AY34*BA34</f>
        <v>537269.78545695997</v>
      </c>
    </row>
    <row r="35" spans="1:54" ht="15">
      <c r="A35" s="573">
        <v>2</v>
      </c>
      <c r="B35" s="608" t="s">
        <v>100</v>
      </c>
      <c r="C35" s="615">
        <v>1395</v>
      </c>
      <c r="D35" s="610">
        <v>136825920</v>
      </c>
      <c r="E35" s="583">
        <f>+D35*E31</f>
        <v>95778144</v>
      </c>
      <c r="F35" s="584">
        <f>+D35*F31</f>
        <v>41047776</v>
      </c>
      <c r="G35" s="614"/>
      <c r="H35" s="324">
        <f>SUM(I35:T35)</f>
        <v>136825920</v>
      </c>
      <c r="I35" s="250"/>
      <c r="J35" s="251"/>
      <c r="K35" s="250">
        <v>95778144</v>
      </c>
      <c r="L35" s="212"/>
      <c r="M35" s="212"/>
      <c r="N35" s="212"/>
      <c r="O35" s="212"/>
      <c r="P35" s="212"/>
      <c r="Q35" s="212"/>
      <c r="R35" s="212">
        <v>41047776</v>
      </c>
      <c r="S35" s="212"/>
      <c r="T35" s="248"/>
      <c r="U35" s="237"/>
      <c r="V35" s="217"/>
      <c r="W35" s="212">
        <v>95778144</v>
      </c>
      <c r="X35" s="212"/>
      <c r="Y35" s="212"/>
      <c r="Z35" s="212"/>
      <c r="AA35" s="212"/>
      <c r="AB35" s="212"/>
      <c r="AC35" s="212"/>
      <c r="AD35" s="212">
        <v>41047776</v>
      </c>
      <c r="AE35" s="212"/>
      <c r="AF35" s="212"/>
      <c r="AG35" s="218">
        <f>SUM(U35:AF35)</f>
        <v>136825920</v>
      </c>
      <c r="AH35" s="123">
        <f>+H35-AG35</f>
        <v>0</v>
      </c>
      <c r="AK35" s="237"/>
      <c r="AL35" s="217"/>
      <c r="AM35" s="212"/>
      <c r="AN35" s="212"/>
      <c r="AO35" s="212"/>
      <c r="AP35" s="212"/>
      <c r="AQ35" s="212"/>
      <c r="AR35" s="212"/>
      <c r="AS35" s="212">
        <v>57832881.283220269</v>
      </c>
      <c r="AT35" s="212"/>
      <c r="AU35" s="212">
        <v>16227271.042244077</v>
      </c>
      <c r="AV35" s="248"/>
      <c r="AW35" s="226">
        <f>SUM(AK35:AV35)</f>
        <v>74060152.325464338</v>
      </c>
      <c r="AX35" s="431">
        <f t="shared" ref="AX35:AX77" si="5">+AG35-AW35</f>
        <v>62765767.674535662</v>
      </c>
      <c r="AY35" s="207">
        <v>59328125</v>
      </c>
      <c r="AZ35" s="149"/>
      <c r="BA35" s="149">
        <f>+(AW35*AZ34)/AY35</f>
        <v>1.2483143926335838</v>
      </c>
      <c r="BB35" s="207">
        <f>+AY34*BA35</f>
        <v>20780464.997580595</v>
      </c>
    </row>
    <row r="36" spans="1:54" ht="15">
      <c r="A36" s="573">
        <v>3</v>
      </c>
      <c r="B36" s="575" t="s">
        <v>74</v>
      </c>
      <c r="C36" s="576">
        <v>2121</v>
      </c>
      <c r="D36" s="577">
        <v>392824904</v>
      </c>
      <c r="E36" s="578">
        <f>+D36*G31</f>
        <v>32735408.666666672</v>
      </c>
      <c r="F36" s="579">
        <f>+D36*G31</f>
        <v>32735408.666666672</v>
      </c>
      <c r="G36" s="580">
        <f>+D36*G31</f>
        <v>32735408.666666672</v>
      </c>
      <c r="H36" s="324">
        <f t="shared" ref="H36:H82" si="6">SUM(I36:T36)</f>
        <v>392824904</v>
      </c>
      <c r="I36" s="252"/>
      <c r="J36" s="251"/>
      <c r="K36" s="252"/>
      <c r="L36" s="206"/>
      <c r="M36" s="206">
        <v>163677043</v>
      </c>
      <c r="N36" s="206">
        <v>32735409</v>
      </c>
      <c r="O36" s="212">
        <v>32735409</v>
      </c>
      <c r="P36" s="212">
        <v>32735409</v>
      </c>
      <c r="Q36" s="212">
        <v>32735408</v>
      </c>
      <c r="R36" s="212">
        <v>32735409</v>
      </c>
      <c r="S36" s="212">
        <v>32735409</v>
      </c>
      <c r="T36" s="248">
        <v>32735408</v>
      </c>
      <c r="U36" s="235"/>
      <c r="V36" s="217"/>
      <c r="W36" s="206"/>
      <c r="X36" s="206"/>
      <c r="Y36" s="206">
        <v>163677043</v>
      </c>
      <c r="Z36" s="206">
        <v>32735409</v>
      </c>
      <c r="AA36" s="206">
        <v>32735409</v>
      </c>
      <c r="AB36" s="206">
        <v>32735409</v>
      </c>
      <c r="AC36" s="206">
        <v>32735408</v>
      </c>
      <c r="AD36" s="206">
        <v>32735409</v>
      </c>
      <c r="AE36" s="206">
        <v>32735409</v>
      </c>
      <c r="AF36" s="206"/>
      <c r="AG36" s="219">
        <f>SUM(U36:AF36)</f>
        <v>360089496</v>
      </c>
      <c r="AH36" s="124">
        <f>+H36-AG36</f>
        <v>32735408</v>
      </c>
      <c r="AK36" s="235"/>
      <c r="AL36" s="217"/>
      <c r="AM36" s="206"/>
      <c r="AN36" s="206">
        <v>0</v>
      </c>
      <c r="AO36" s="206"/>
      <c r="AP36" s="206">
        <v>98527130</v>
      </c>
      <c r="AQ36" s="206">
        <v>33458208</v>
      </c>
      <c r="AR36" s="206">
        <v>100140171</v>
      </c>
      <c r="AS36" s="206"/>
      <c r="AT36" s="206">
        <v>24225735</v>
      </c>
      <c r="AU36" s="206">
        <v>32748314</v>
      </c>
      <c r="AV36" s="227">
        <v>31337256</v>
      </c>
      <c r="AW36" s="228">
        <f>SUM(AK36:AV36)</f>
        <v>320436814</v>
      </c>
      <c r="AX36" s="431">
        <f t="shared" si="5"/>
        <v>39652682</v>
      </c>
      <c r="AZ36" s="149"/>
    </row>
    <row r="37" spans="1:54" ht="15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6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7">SUM(U37:AF37)</f>
        <v>0</v>
      </c>
      <c r="AH37" s="124">
        <f t="shared" ref="AH37:AH82" si="8">+H37-AG37</f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9">SUM(AK37:AV37)</f>
        <v>0</v>
      </c>
      <c r="AX37" s="431">
        <f t="shared" si="5"/>
        <v>0</v>
      </c>
    </row>
    <row r="38" spans="1:54" ht="15">
      <c r="A38" s="573">
        <v>5</v>
      </c>
      <c r="B38" s="575" t="s">
        <v>101</v>
      </c>
      <c r="C38" s="576">
        <v>1947</v>
      </c>
      <c r="D38" s="577">
        <v>331343123</v>
      </c>
      <c r="E38" s="578">
        <f>+D38*E31</f>
        <v>231940186.09999999</v>
      </c>
      <c r="F38" s="579">
        <f>+D38*F31</f>
        <v>99402936.899999991</v>
      </c>
      <c r="G38" s="580">
        <f>+D38-H38</f>
        <v>0</v>
      </c>
      <c r="H38" s="324">
        <f t="shared" si="6"/>
        <v>331343123</v>
      </c>
      <c r="I38" s="252"/>
      <c r="J38" s="251"/>
      <c r="K38" s="252"/>
      <c r="L38" s="206">
        <v>232033519</v>
      </c>
      <c r="M38" s="206"/>
      <c r="N38" s="206"/>
      <c r="O38" s="212"/>
      <c r="P38" s="212"/>
      <c r="Q38" s="212"/>
      <c r="R38" s="212">
        <v>99309604</v>
      </c>
      <c r="S38" s="212"/>
      <c r="T38" s="248"/>
      <c r="U38" s="235"/>
      <c r="V38" s="217"/>
      <c r="W38" s="206"/>
      <c r="X38" s="206">
        <v>231940186.40000001</v>
      </c>
      <c r="Y38" s="206"/>
      <c r="Z38" s="206"/>
      <c r="AA38" s="206"/>
      <c r="AB38" s="206"/>
      <c r="AC38" s="206"/>
      <c r="AD38" s="206">
        <v>99309604</v>
      </c>
      <c r="AE38" s="206"/>
      <c r="AF38" s="206"/>
      <c r="AG38" s="219">
        <f t="shared" si="7"/>
        <v>331249790.39999998</v>
      </c>
      <c r="AH38" s="124">
        <f t="shared" si="8"/>
        <v>93332.600000023842</v>
      </c>
      <c r="AK38" s="235"/>
      <c r="AL38" s="217"/>
      <c r="AM38" s="206"/>
      <c r="AN38" s="206"/>
      <c r="AO38" s="206"/>
      <c r="AP38" s="206"/>
      <c r="AQ38" s="206"/>
      <c r="AR38" s="206">
        <v>24825704.203281425</v>
      </c>
      <c r="AS38" s="206"/>
      <c r="AT38" s="206">
        <v>17655409.703895368</v>
      </c>
      <c r="AU38" s="206">
        <v>11418172.599480936</v>
      </c>
      <c r="AV38" s="227"/>
      <c r="AW38" s="228">
        <f t="shared" si="9"/>
        <v>53899286.506657727</v>
      </c>
      <c r="AX38" s="431">
        <f t="shared" si="5"/>
        <v>277350503.89334226</v>
      </c>
      <c r="AY38" s="207">
        <v>28335106</v>
      </c>
      <c r="AZ38" s="149">
        <v>1</v>
      </c>
    </row>
    <row r="39" spans="1:54" ht="15">
      <c r="A39" s="573">
        <v>6</v>
      </c>
      <c r="B39" s="575" t="s">
        <v>102</v>
      </c>
      <c r="C39" s="576">
        <v>1947</v>
      </c>
      <c r="D39" s="577">
        <v>15444000</v>
      </c>
      <c r="E39" s="578">
        <f>+D39*E31</f>
        <v>10810800</v>
      </c>
      <c r="F39" s="579">
        <f>+D39*F31</f>
        <v>4633200</v>
      </c>
      <c r="G39" s="580">
        <f>+D39-H39</f>
        <v>0</v>
      </c>
      <c r="H39" s="324">
        <f t="shared" si="6"/>
        <v>15444000</v>
      </c>
      <c r="I39" s="252"/>
      <c r="J39" s="251"/>
      <c r="K39" s="252"/>
      <c r="L39" s="206">
        <v>10904133</v>
      </c>
      <c r="M39" s="206"/>
      <c r="N39" s="206"/>
      <c r="O39" s="212"/>
      <c r="P39" s="212"/>
      <c r="Q39" s="212"/>
      <c r="R39" s="212">
        <v>4539867</v>
      </c>
      <c r="S39" s="212"/>
      <c r="T39" s="248"/>
      <c r="U39" s="235"/>
      <c r="V39" s="217"/>
      <c r="W39" s="206"/>
      <c r="X39" s="206">
        <v>10810800.4</v>
      </c>
      <c r="Y39" s="206"/>
      <c r="Z39" s="206"/>
      <c r="AA39" s="206"/>
      <c r="AB39" s="206"/>
      <c r="AC39" s="206"/>
      <c r="AD39" s="206">
        <v>4539867</v>
      </c>
      <c r="AE39" s="206"/>
      <c r="AF39" s="206"/>
      <c r="AG39" s="219">
        <f t="shared" si="7"/>
        <v>15350667.4</v>
      </c>
      <c r="AH39" s="124">
        <f t="shared" si="8"/>
        <v>93332.599999999627</v>
      </c>
      <c r="AI39" s="170">
        <f>+AH38+AH39+AH40</f>
        <v>279997.80000002496</v>
      </c>
      <c r="AK39" s="235"/>
      <c r="AL39" s="217"/>
      <c r="AM39" s="206"/>
      <c r="AN39" s="206"/>
      <c r="AO39" s="206"/>
      <c r="AP39" s="206"/>
      <c r="AQ39" s="206"/>
      <c r="AR39" s="206">
        <v>1157133.384674716</v>
      </c>
      <c r="AS39" s="206"/>
      <c r="AT39" s="206">
        <v>817796.86870263587</v>
      </c>
      <c r="AU39" s="206">
        <v>528888.64969820157</v>
      </c>
      <c r="AV39" s="227"/>
      <c r="AW39" s="228">
        <f t="shared" si="9"/>
        <v>2503818.9030755535</v>
      </c>
      <c r="AX39" s="431">
        <f t="shared" si="5"/>
        <v>12846848.496924447</v>
      </c>
      <c r="AY39" s="170">
        <f>+AX38+AX39+AX40</f>
        <v>316762255.19999999</v>
      </c>
      <c r="AZ39" s="149">
        <f>+(AX38*$AZ$38)/$AY$39</f>
        <v>0.87557939539932361</v>
      </c>
      <c r="BA39" s="207">
        <f>+$AU$31*AZ39</f>
        <v>11418172.599480936</v>
      </c>
    </row>
    <row r="40" spans="1:54" ht="15">
      <c r="A40" s="573">
        <v>7</v>
      </c>
      <c r="B40" s="575" t="s">
        <v>112</v>
      </c>
      <c r="C40" s="576">
        <v>1947</v>
      </c>
      <c r="D40" s="577">
        <v>31795200</v>
      </c>
      <c r="E40" s="578">
        <f>+D40*E31</f>
        <v>22256640</v>
      </c>
      <c r="F40" s="579">
        <f>+D40*F31</f>
        <v>9538560</v>
      </c>
      <c r="G40" s="580">
        <f>+D40-H40</f>
        <v>0</v>
      </c>
      <c r="H40" s="324">
        <f t="shared" si="6"/>
        <v>31795200</v>
      </c>
      <c r="I40" s="252"/>
      <c r="J40" s="251"/>
      <c r="K40" s="252"/>
      <c r="L40" s="206">
        <v>22069973</v>
      </c>
      <c r="M40" s="206"/>
      <c r="N40" s="206"/>
      <c r="O40" s="212"/>
      <c r="P40" s="212"/>
      <c r="Q40" s="212"/>
      <c r="R40" s="212">
        <v>9725227</v>
      </c>
      <c r="S40" s="212"/>
      <c r="T40" s="248"/>
      <c r="U40" s="235"/>
      <c r="V40" s="217"/>
      <c r="W40" s="206"/>
      <c r="X40" s="206">
        <v>21976640.399999999</v>
      </c>
      <c r="Y40" s="206"/>
      <c r="Z40" s="206"/>
      <c r="AA40" s="206"/>
      <c r="AB40" s="206"/>
      <c r="AC40" s="206"/>
      <c r="AD40" s="206">
        <v>9725227</v>
      </c>
      <c r="AE40" s="206"/>
      <c r="AF40" s="206"/>
      <c r="AG40" s="219">
        <f t="shared" si="7"/>
        <v>31701867.399999999</v>
      </c>
      <c r="AH40" s="124">
        <f t="shared" si="8"/>
        <v>93332.60000000149</v>
      </c>
      <c r="AK40" s="235"/>
      <c r="AL40" s="217"/>
      <c r="AM40" s="206"/>
      <c r="AN40" s="206"/>
      <c r="AO40" s="206"/>
      <c r="AP40" s="206"/>
      <c r="AQ40" s="206"/>
      <c r="AR40" s="206">
        <v>2352268.4120438574</v>
      </c>
      <c r="AS40" s="206"/>
      <c r="AT40" s="206">
        <v>1691052.427401993</v>
      </c>
      <c r="AU40" s="206">
        <v>1093643.7508208614</v>
      </c>
      <c r="AV40" s="227"/>
      <c r="AW40" s="228">
        <f t="shared" si="9"/>
        <v>5136964.590266712</v>
      </c>
      <c r="AX40" s="431">
        <f t="shared" si="5"/>
        <v>26564902.809733286</v>
      </c>
      <c r="AZ40" s="149">
        <f>+(AX39*$AZ$38)/$AY$39</f>
        <v>4.0556752851797627E-2</v>
      </c>
      <c r="BA40" s="207">
        <f>+$AU$31*AZ40</f>
        <v>528888.64969820157</v>
      </c>
    </row>
    <row r="41" spans="1:54" ht="15">
      <c r="A41" s="573">
        <v>8</v>
      </c>
      <c r="B41" s="575" t="s">
        <v>76</v>
      </c>
      <c r="C41" s="576">
        <v>1623</v>
      </c>
      <c r="D41" s="577">
        <v>98191963</v>
      </c>
      <c r="E41" s="578">
        <f>+D41*E31</f>
        <v>68734374.099999994</v>
      </c>
      <c r="F41" s="579">
        <f>+D41*F31</f>
        <v>29457588.899999999</v>
      </c>
      <c r="G41" s="580"/>
      <c r="H41" s="324">
        <f t="shared" si="6"/>
        <v>98191963</v>
      </c>
      <c r="I41" s="252"/>
      <c r="J41" s="251"/>
      <c r="K41" s="252">
        <v>68734374</v>
      </c>
      <c r="L41" s="206"/>
      <c r="M41" s="206"/>
      <c r="N41" s="206"/>
      <c r="O41" s="212"/>
      <c r="P41" s="212"/>
      <c r="Q41" s="212"/>
      <c r="R41" s="212">
        <v>29457589</v>
      </c>
      <c r="S41" s="212"/>
      <c r="T41" s="248"/>
      <c r="U41" s="235"/>
      <c r="V41" s="217"/>
      <c r="W41" s="206">
        <v>68734374</v>
      </c>
      <c r="X41" s="206"/>
      <c r="Y41" s="206"/>
      <c r="Z41" s="206"/>
      <c r="AA41" s="206"/>
      <c r="AB41" s="206"/>
      <c r="AC41" s="206"/>
      <c r="AD41" s="206">
        <v>29457589</v>
      </c>
      <c r="AE41" s="206"/>
      <c r="AF41" s="206"/>
      <c r="AG41" s="219">
        <f t="shared" si="7"/>
        <v>98191963</v>
      </c>
      <c r="AH41" s="124">
        <f t="shared" si="8"/>
        <v>0</v>
      </c>
      <c r="AK41" s="235"/>
      <c r="AL41" s="217"/>
      <c r="AM41" s="206"/>
      <c r="AN41" s="206"/>
      <c r="AO41" s="206"/>
      <c r="AP41" s="206"/>
      <c r="AQ41" s="206">
        <v>43726453</v>
      </c>
      <c r="AR41" s="206">
        <v>7332946</v>
      </c>
      <c r="AS41" s="206"/>
      <c r="AT41" s="206">
        <v>14494454</v>
      </c>
      <c r="AU41" s="206">
        <v>7332946</v>
      </c>
      <c r="AV41" s="227"/>
      <c r="AW41" s="228">
        <f t="shared" si="9"/>
        <v>72886799</v>
      </c>
      <c r="AX41" s="431">
        <f t="shared" si="5"/>
        <v>25305164</v>
      </c>
      <c r="AZ41" s="149">
        <f>+(AX40*$AZ$38)/$AY$39</f>
        <v>8.3863851748878726E-2</v>
      </c>
      <c r="BA41" s="207">
        <f>+$AU$31*AZ41</f>
        <v>1093643.7508208617</v>
      </c>
    </row>
    <row r="42" spans="1:54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6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7"/>
        <v>0</v>
      </c>
      <c r="AH42" s="124">
        <f t="shared" si="8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5"/>
        <v>0</v>
      </c>
    </row>
    <row r="43" spans="1:54" ht="15">
      <c r="A43" s="573">
        <v>10</v>
      </c>
      <c r="B43" s="575" t="s">
        <v>104</v>
      </c>
      <c r="C43" s="576" t="s">
        <v>176</v>
      </c>
      <c r="D43" s="577">
        <v>148659559</v>
      </c>
      <c r="E43" s="578">
        <f>+D43*E31</f>
        <v>104061691.3</v>
      </c>
      <c r="F43" s="579">
        <f>+D43*F31</f>
        <v>44597867.699999996</v>
      </c>
      <c r="G43" s="580"/>
      <c r="H43" s="324">
        <f t="shared" si="6"/>
        <v>148659559</v>
      </c>
      <c r="I43" s="252"/>
      <c r="J43" s="251"/>
      <c r="K43" s="252">
        <v>104061691</v>
      </c>
      <c r="L43" s="206"/>
      <c r="M43" s="206"/>
      <c r="N43" s="206"/>
      <c r="O43" s="212"/>
      <c r="P43" s="212"/>
      <c r="Q43" s="212"/>
      <c r="R43" s="212">
        <v>44597868</v>
      </c>
      <c r="S43" s="212"/>
      <c r="T43" s="248"/>
      <c r="U43" s="235"/>
      <c r="V43" s="217"/>
      <c r="W43" s="206">
        <v>104061691</v>
      </c>
      <c r="X43" s="206"/>
      <c r="Y43" s="206"/>
      <c r="Z43" s="206"/>
      <c r="AA43" s="206"/>
      <c r="AB43" s="206"/>
      <c r="AC43" s="206"/>
      <c r="AD43" s="206">
        <v>44597868</v>
      </c>
      <c r="AE43" s="206"/>
      <c r="AF43" s="206"/>
      <c r="AG43" s="219">
        <f t="shared" si="7"/>
        <v>148659559</v>
      </c>
      <c r="AH43" s="124">
        <f t="shared" si="8"/>
        <v>0</v>
      </c>
      <c r="AK43" s="235"/>
      <c r="AL43" s="217"/>
      <c r="AM43" s="206"/>
      <c r="AN43" s="206">
        <v>0</v>
      </c>
      <c r="AO43" s="206"/>
      <c r="AP43" s="206"/>
      <c r="AQ43" s="206">
        <v>11216350</v>
      </c>
      <c r="AR43" s="206"/>
      <c r="AS43" s="206"/>
      <c r="AT43" s="206">
        <v>44865396</v>
      </c>
      <c r="AU43" s="206">
        <v>13079261</v>
      </c>
      <c r="AV43" s="227"/>
      <c r="AW43" s="228">
        <f t="shared" si="9"/>
        <v>69161007</v>
      </c>
      <c r="AX43" s="431">
        <f t="shared" si="5"/>
        <v>79498552</v>
      </c>
    </row>
    <row r="44" spans="1:54" ht="15">
      <c r="A44" s="573">
        <v>11</v>
      </c>
      <c r="B44" s="575" t="s">
        <v>78</v>
      </c>
      <c r="C44" s="576">
        <v>1950</v>
      </c>
      <c r="D44" s="577">
        <v>111029182</v>
      </c>
      <c r="E44" s="578">
        <f>+D44*E31</f>
        <v>77720427.399999991</v>
      </c>
      <c r="F44" s="579">
        <f>+D44*F31</f>
        <v>33308754.599999998</v>
      </c>
      <c r="G44" s="580"/>
      <c r="H44" s="324">
        <f t="shared" si="6"/>
        <v>111029181.99999999</v>
      </c>
      <c r="I44" s="252"/>
      <c r="J44" s="221"/>
      <c r="K44" s="252"/>
      <c r="L44" s="206"/>
      <c r="M44" s="206">
        <v>77720427.399999991</v>
      </c>
      <c r="N44" s="206"/>
      <c r="O44" s="212"/>
      <c r="P44" s="212"/>
      <c r="Q44" s="212"/>
      <c r="R44" s="212"/>
      <c r="S44" s="212"/>
      <c r="T44" s="248">
        <v>33308754.599999998</v>
      </c>
      <c r="U44" s="235"/>
      <c r="V44" s="217"/>
      <c r="W44" s="206"/>
      <c r="X44" s="206"/>
      <c r="Y44" s="206">
        <v>77720427.399999991</v>
      </c>
      <c r="Z44" s="206"/>
      <c r="AA44" s="206"/>
      <c r="AB44" s="206"/>
      <c r="AC44" s="206"/>
      <c r="AD44" s="206"/>
      <c r="AE44" s="206"/>
      <c r="AF44" s="206">
        <v>33308754.599999998</v>
      </c>
      <c r="AG44" s="219">
        <f t="shared" si="7"/>
        <v>111029181.99999999</v>
      </c>
      <c r="AH44" s="124">
        <f t="shared" si="8"/>
        <v>0</v>
      </c>
      <c r="AK44" s="235"/>
      <c r="AL44" s="217"/>
      <c r="AM44" s="206"/>
      <c r="AN44" s="206"/>
      <c r="AO44" s="206">
        <v>0</v>
      </c>
      <c r="AP44" s="206"/>
      <c r="AQ44" s="206">
        <v>4320530</v>
      </c>
      <c r="AR44" s="206"/>
      <c r="AS44" s="206"/>
      <c r="AT44" s="206">
        <v>12437568</v>
      </c>
      <c r="AU44" s="206">
        <v>11480832</v>
      </c>
      <c r="AV44" s="227"/>
      <c r="AW44" s="228">
        <f t="shared" si="9"/>
        <v>28238930</v>
      </c>
      <c r="AX44" s="431">
        <f t="shared" si="5"/>
        <v>82790251.999999985</v>
      </c>
    </row>
    <row r="45" spans="1:54" s="190" customFormat="1" ht="28.5">
      <c r="A45" s="573">
        <v>12</v>
      </c>
      <c r="B45" s="618" t="s">
        <v>79</v>
      </c>
      <c r="C45" s="603" t="s">
        <v>229</v>
      </c>
      <c r="D45" s="597">
        <v>214321810</v>
      </c>
      <c r="E45" s="598">
        <f>+D45*E31</f>
        <v>150025267</v>
      </c>
      <c r="F45" s="599">
        <f>+D45*F31</f>
        <v>64296543</v>
      </c>
      <c r="G45" s="600"/>
      <c r="H45" s="324">
        <f t="shared" si="6"/>
        <v>214321810</v>
      </c>
      <c r="I45" s="253"/>
      <c r="J45" s="232"/>
      <c r="K45" s="253">
        <v>150025267</v>
      </c>
      <c r="L45" s="231"/>
      <c r="M45" s="231"/>
      <c r="N45" s="231"/>
      <c r="O45" s="212"/>
      <c r="P45" s="212"/>
      <c r="Q45" s="212"/>
      <c r="R45" s="212">
        <v>64296543</v>
      </c>
      <c r="S45" s="212"/>
      <c r="T45" s="248"/>
      <c r="U45" s="238"/>
      <c r="V45" s="230"/>
      <c r="W45" s="231">
        <v>150025267</v>
      </c>
      <c r="X45" s="231"/>
      <c r="Y45" s="231"/>
      <c r="Z45" s="231"/>
      <c r="AA45" s="231"/>
      <c r="AB45" s="231"/>
      <c r="AC45" s="231"/>
      <c r="AD45" s="231">
        <v>64296543</v>
      </c>
      <c r="AE45" s="231"/>
      <c r="AF45" s="231"/>
      <c r="AG45" s="219">
        <f t="shared" si="7"/>
        <v>214321810</v>
      </c>
      <c r="AH45" s="124">
        <f t="shared" si="8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>
        <v>55373030</v>
      </c>
      <c r="AT45" s="231"/>
      <c r="AU45" s="231">
        <v>40577616</v>
      </c>
      <c r="AV45" s="436"/>
      <c r="AW45" s="228">
        <f t="shared" si="9"/>
        <v>95950646</v>
      </c>
      <c r="AX45" s="431">
        <f t="shared" si="5"/>
        <v>118371164</v>
      </c>
    </row>
    <row r="46" spans="1:54" ht="15">
      <c r="A46" s="573">
        <v>13</v>
      </c>
      <c r="B46" s="575" t="s">
        <v>80</v>
      </c>
      <c r="C46" s="576">
        <v>2994</v>
      </c>
      <c r="D46" s="577">
        <v>11100000</v>
      </c>
      <c r="E46" s="578">
        <f>+D46*E31</f>
        <v>7769999.9999999991</v>
      </c>
      <c r="F46" s="579">
        <f>+D46*F31</f>
        <v>3330000</v>
      </c>
      <c r="G46" s="580"/>
      <c r="H46" s="324">
        <f t="shared" si="6"/>
        <v>11100000</v>
      </c>
      <c r="I46" s="252"/>
      <c r="J46" s="221"/>
      <c r="K46" s="252"/>
      <c r="L46" s="206"/>
      <c r="M46" s="206"/>
      <c r="N46" s="206">
        <v>7770000</v>
      </c>
      <c r="O46" s="212"/>
      <c r="P46" s="212"/>
      <c r="Q46" s="212"/>
      <c r="R46" s="212">
        <v>3330000</v>
      </c>
      <c r="S46" s="212"/>
      <c r="T46" s="248"/>
      <c r="U46" s="239">
        <f>SUM(U34:U45)</f>
        <v>0</v>
      </c>
      <c r="V46" s="213"/>
      <c r="W46" s="213"/>
      <c r="X46" s="213"/>
      <c r="Y46" s="206"/>
      <c r="Z46" s="206">
        <v>7770000</v>
      </c>
      <c r="AA46" s="213"/>
      <c r="AB46" s="213"/>
      <c r="AC46" s="213"/>
      <c r="AD46" s="206">
        <v>3330000</v>
      </c>
      <c r="AE46" s="213"/>
      <c r="AF46" s="213"/>
      <c r="AG46" s="219">
        <f>SUM(U46:AF46)</f>
        <v>11100000</v>
      </c>
      <c r="AH46" s="124">
        <f t="shared" si="8"/>
        <v>0</v>
      </c>
      <c r="AK46" s="239"/>
      <c r="AL46" s="213"/>
      <c r="AM46" s="213"/>
      <c r="AN46" s="213"/>
      <c r="AO46" s="206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5"/>
        <v>11100000</v>
      </c>
    </row>
    <row r="47" spans="1:54" ht="15">
      <c r="A47" s="573">
        <v>14</v>
      </c>
      <c r="B47" s="575" t="s">
        <v>81</v>
      </c>
      <c r="C47" s="576">
        <v>1948</v>
      </c>
      <c r="D47" s="577">
        <v>270779615</v>
      </c>
      <c r="E47" s="578">
        <f>+D47*E31</f>
        <v>189545730.5</v>
      </c>
      <c r="F47" s="579">
        <f>+D47*F31</f>
        <v>81233884.5</v>
      </c>
      <c r="G47" s="580"/>
      <c r="H47" s="324">
        <f t="shared" si="6"/>
        <v>270779615</v>
      </c>
      <c r="I47" s="252"/>
      <c r="J47" s="221"/>
      <c r="K47" s="252">
        <v>189545730</v>
      </c>
      <c r="L47" s="206"/>
      <c r="M47" s="206"/>
      <c r="N47" s="206"/>
      <c r="O47" s="212"/>
      <c r="P47" s="212"/>
      <c r="Q47" s="212"/>
      <c r="R47" s="212">
        <v>81233885</v>
      </c>
      <c r="S47" s="212"/>
      <c r="T47" s="248"/>
      <c r="U47" s="235"/>
      <c r="V47" s="206"/>
      <c r="W47" s="206">
        <v>189545730</v>
      </c>
      <c r="X47" s="206"/>
      <c r="Y47" s="206"/>
      <c r="Z47" s="206"/>
      <c r="AA47" s="206"/>
      <c r="AB47" s="206"/>
      <c r="AC47" s="206"/>
      <c r="AD47" s="206">
        <v>81233885</v>
      </c>
      <c r="AE47" s="206"/>
      <c r="AF47" s="206"/>
      <c r="AG47" s="219">
        <f t="shared" si="7"/>
        <v>270779615</v>
      </c>
      <c r="AH47" s="124">
        <f t="shared" si="8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0">SUM(AK47:AV47)</f>
        <v>0</v>
      </c>
      <c r="AX47" s="431">
        <f t="shared" si="5"/>
        <v>270779615</v>
      </c>
    </row>
    <row r="48" spans="1:54" ht="15">
      <c r="A48" s="18">
        <v>15</v>
      </c>
      <c r="B48" s="7" t="s">
        <v>82</v>
      </c>
      <c r="C48" s="147"/>
      <c r="D48" s="13"/>
      <c r="E48" s="142"/>
      <c r="F48" s="143"/>
      <c r="G48" s="160"/>
      <c r="H48" s="324">
        <f t="shared" si="6"/>
        <v>0</v>
      </c>
      <c r="I48" s="252"/>
      <c r="J48" s="221"/>
      <c r="K48" s="252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7"/>
        <v>0</v>
      </c>
      <c r="AH48" s="124">
        <f t="shared" si="8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1">
        <f t="shared" si="5"/>
        <v>0</v>
      </c>
    </row>
    <row r="49" spans="1:53" ht="15">
      <c r="A49" s="573">
        <v>16</v>
      </c>
      <c r="B49" s="575" t="s">
        <v>83</v>
      </c>
      <c r="C49" s="576">
        <v>1983</v>
      </c>
      <c r="D49" s="577">
        <v>42502066</v>
      </c>
      <c r="E49" s="578">
        <f>+D49*E31</f>
        <v>29751446.199999999</v>
      </c>
      <c r="F49" s="579">
        <f>+D49*F31</f>
        <v>12750619.799999999</v>
      </c>
      <c r="G49" s="580"/>
      <c r="H49" s="324">
        <f t="shared" si="6"/>
        <v>42502024.200000003</v>
      </c>
      <c r="I49" s="252"/>
      <c r="J49" s="221"/>
      <c r="K49" s="252">
        <v>29751446.199999999</v>
      </c>
      <c r="L49" s="206"/>
      <c r="M49" s="206"/>
      <c r="N49" s="206"/>
      <c r="O49" s="212"/>
      <c r="P49" s="212"/>
      <c r="Q49" s="212"/>
      <c r="R49" s="212">
        <v>12750578</v>
      </c>
      <c r="S49" s="212"/>
      <c r="T49" s="248"/>
      <c r="U49" s="235"/>
      <c r="V49" s="206"/>
      <c r="W49" s="206">
        <v>29751446</v>
      </c>
      <c r="X49" s="206"/>
      <c r="Y49" s="206"/>
      <c r="Z49" s="206"/>
      <c r="AA49" s="206"/>
      <c r="AB49" s="206"/>
      <c r="AC49" s="206"/>
      <c r="AD49" s="206"/>
      <c r="AE49" s="206">
        <v>12750578</v>
      </c>
      <c r="AF49" s="206"/>
      <c r="AG49" s="219">
        <f t="shared" si="7"/>
        <v>42502024</v>
      </c>
      <c r="AH49" s="124">
        <f t="shared" si="8"/>
        <v>0.20000000298023224</v>
      </c>
      <c r="AI49" s="170"/>
      <c r="AK49" s="235"/>
      <c r="AL49" s="206"/>
      <c r="AM49" s="206"/>
      <c r="AN49" s="206"/>
      <c r="AO49" s="206"/>
      <c r="AP49" s="206"/>
      <c r="AQ49" s="206">
        <v>10398386</v>
      </c>
      <c r="AR49" s="206"/>
      <c r="AS49" s="206"/>
      <c r="AT49" s="206"/>
      <c r="AU49" s="206">
        <v>14145600</v>
      </c>
      <c r="AV49" s="227">
        <v>3477768</v>
      </c>
      <c r="AW49" s="228">
        <f t="shared" si="10"/>
        <v>28021754</v>
      </c>
      <c r="AX49" s="431">
        <f t="shared" si="5"/>
        <v>14480270</v>
      </c>
    </row>
    <row r="50" spans="1:53" ht="15">
      <c r="A50" s="573">
        <v>17</v>
      </c>
      <c r="B50" s="575" t="s">
        <v>95</v>
      </c>
      <c r="C50" s="576">
        <v>1247</v>
      </c>
      <c r="D50" s="577">
        <v>18326100</v>
      </c>
      <c r="E50" s="578">
        <f>+D50*$E$31</f>
        <v>12828270</v>
      </c>
      <c r="F50" s="579">
        <f>+D50*$F$31</f>
        <v>5497830</v>
      </c>
      <c r="G50" s="580"/>
      <c r="H50" s="324">
        <f t="shared" si="6"/>
        <v>18326100</v>
      </c>
      <c r="I50" s="252"/>
      <c r="J50" s="221"/>
      <c r="K50" s="252">
        <v>12828270</v>
      </c>
      <c r="L50" s="206"/>
      <c r="M50" s="206"/>
      <c r="N50" s="206"/>
      <c r="O50" s="212"/>
      <c r="P50" s="212"/>
      <c r="Q50" s="212"/>
      <c r="R50" s="212">
        <v>3985955.0525818621</v>
      </c>
      <c r="S50" s="212">
        <v>1511874.9474181384</v>
      </c>
      <c r="T50" s="248"/>
      <c r="U50" s="235"/>
      <c r="V50" s="206"/>
      <c r="W50" s="206">
        <v>12828270</v>
      </c>
      <c r="X50" s="206"/>
      <c r="Y50" s="206"/>
      <c r="Z50" s="206"/>
      <c r="AA50" s="206"/>
      <c r="AB50" s="206"/>
      <c r="AC50" s="206"/>
      <c r="AD50" s="206">
        <v>3985955.0525818621</v>
      </c>
      <c r="AE50" s="206">
        <v>1511874.9474181384</v>
      </c>
      <c r="AF50" s="206"/>
      <c r="AG50" s="219">
        <f t="shared" si="7"/>
        <v>18326100</v>
      </c>
      <c r="AH50" s="124">
        <f t="shared" si="8"/>
        <v>0</v>
      </c>
      <c r="AK50" s="235"/>
      <c r="AL50" s="206"/>
      <c r="AM50" s="206"/>
      <c r="AN50" s="206"/>
      <c r="AO50" s="206"/>
      <c r="AP50" s="206"/>
      <c r="AQ50" s="206"/>
      <c r="AR50" s="206">
        <v>7528139.972410514</v>
      </c>
      <c r="AS50" s="206"/>
      <c r="AT50" s="206"/>
      <c r="AU50" s="206">
        <v>4415441.7346840361</v>
      </c>
      <c r="AV50" s="227">
        <v>814419.99932333129</v>
      </c>
      <c r="AW50" s="228">
        <f t="shared" si="10"/>
        <v>12758001.706417881</v>
      </c>
      <c r="AX50" s="431">
        <f t="shared" si="5"/>
        <v>5568098.293582119</v>
      </c>
      <c r="AZ50" s="6">
        <v>71184292</v>
      </c>
      <c r="BA50" s="6">
        <v>13129810</v>
      </c>
    </row>
    <row r="51" spans="1:53" ht="15">
      <c r="A51" s="573">
        <v>18</v>
      </c>
      <c r="B51" s="575" t="s">
        <v>96</v>
      </c>
      <c r="C51" s="576">
        <v>1247</v>
      </c>
      <c r="D51" s="577">
        <v>166767510</v>
      </c>
      <c r="E51" s="578">
        <f>+D51*$E$31</f>
        <v>116737257</v>
      </c>
      <c r="F51" s="579">
        <f>+D51*$F$31</f>
        <v>50030253</v>
      </c>
      <c r="G51" s="580"/>
      <c r="H51" s="324">
        <f t="shared" si="6"/>
        <v>166767510</v>
      </c>
      <c r="I51" s="252"/>
      <c r="J51" s="221"/>
      <c r="K51" s="252">
        <v>116737257</v>
      </c>
      <c r="L51" s="206"/>
      <c r="M51" s="206"/>
      <c r="N51" s="206"/>
      <c r="O51" s="212"/>
      <c r="P51" s="212"/>
      <c r="Q51" s="212"/>
      <c r="R51" s="212">
        <v>27901685.368073031</v>
      </c>
      <c r="S51" s="212">
        <v>22128567.631926954</v>
      </c>
      <c r="T51" s="248"/>
      <c r="U51" s="235"/>
      <c r="V51" s="206"/>
      <c r="W51" s="206">
        <v>116737257</v>
      </c>
      <c r="X51" s="206"/>
      <c r="Y51" s="206"/>
      <c r="Z51" s="206"/>
      <c r="AA51" s="206"/>
      <c r="AB51" s="206"/>
      <c r="AC51" s="206"/>
      <c r="AD51" s="206">
        <v>27901685.368073031</v>
      </c>
      <c r="AE51" s="206">
        <v>22128567.631926954</v>
      </c>
      <c r="AF51" s="206"/>
      <c r="AG51" s="219">
        <f t="shared" si="7"/>
        <v>166767510</v>
      </c>
      <c r="AH51" s="124">
        <f t="shared" si="8"/>
        <v>0</v>
      </c>
      <c r="AK51" s="235"/>
      <c r="AL51" s="206"/>
      <c r="AM51" s="206"/>
      <c r="AN51" s="206"/>
      <c r="AO51" s="206"/>
      <c r="AP51" s="206"/>
      <c r="AQ51" s="206"/>
      <c r="AR51" s="206">
        <v>68506073.748935685</v>
      </c>
      <c r="AS51" s="206"/>
      <c r="AT51" s="206"/>
      <c r="AU51" s="206">
        <v>40180519.785624728</v>
      </c>
      <c r="AV51" s="227">
        <v>7411221.993842314</v>
      </c>
      <c r="AW51" s="228">
        <f t="shared" si="10"/>
        <v>116097815.52840273</v>
      </c>
      <c r="AX51" s="431">
        <f t="shared" si="5"/>
        <v>50669694.471597269</v>
      </c>
      <c r="AY51" s="170">
        <f>+AX50+AX51+AX52+AX53</f>
        <v>89767039.999999985</v>
      </c>
    </row>
    <row r="52" spans="1:53" ht="15">
      <c r="A52" s="573">
        <v>19</v>
      </c>
      <c r="B52" s="575" t="s">
        <v>97</v>
      </c>
      <c r="C52" s="576">
        <v>1247</v>
      </c>
      <c r="D52" s="577">
        <v>74123400</v>
      </c>
      <c r="E52" s="578">
        <f>+D52*$E$31</f>
        <v>51886380</v>
      </c>
      <c r="F52" s="579">
        <f>+D52*$F$31</f>
        <v>22237020</v>
      </c>
      <c r="G52" s="580"/>
      <c r="H52" s="324">
        <f t="shared" si="6"/>
        <v>74123400</v>
      </c>
      <c r="I52" s="252"/>
      <c r="J52" s="221"/>
      <c r="K52" s="252">
        <v>51886380</v>
      </c>
      <c r="L52" s="206"/>
      <c r="M52" s="206"/>
      <c r="N52" s="206"/>
      <c r="O52" s="212"/>
      <c r="P52" s="212"/>
      <c r="Q52" s="212"/>
      <c r="R52" s="212">
        <v>5580676.3760238495</v>
      </c>
      <c r="S52" s="212">
        <v>16656343.623976149</v>
      </c>
      <c r="T52" s="248"/>
      <c r="U52" s="235"/>
      <c r="V52" s="206"/>
      <c r="W52" s="206">
        <v>51886380</v>
      </c>
      <c r="X52" s="206"/>
      <c r="Y52" s="206"/>
      <c r="Z52" s="206"/>
      <c r="AA52" s="206"/>
      <c r="AB52" s="206"/>
      <c r="AC52" s="206"/>
      <c r="AD52" s="206">
        <v>5580676.3760238495</v>
      </c>
      <c r="AE52" s="206">
        <v>16656343.623976149</v>
      </c>
      <c r="AF52" s="206"/>
      <c r="AG52" s="219">
        <f t="shared" si="7"/>
        <v>74123400</v>
      </c>
      <c r="AH52" s="124">
        <f t="shared" si="8"/>
        <v>0</v>
      </c>
      <c r="AK52" s="235"/>
      <c r="AL52" s="206"/>
      <c r="AM52" s="206"/>
      <c r="AN52" s="206"/>
      <c r="AO52" s="206"/>
      <c r="AP52" s="206"/>
      <c r="AQ52" s="206"/>
      <c r="AR52" s="206">
        <v>30448995.172512073</v>
      </c>
      <c r="AS52" s="206"/>
      <c r="AT52" s="206"/>
      <c r="AU52" s="206">
        <v>17859094.617877167</v>
      </c>
      <c r="AV52" s="227">
        <v>3294076.7199700428</v>
      </c>
      <c r="AW52" s="228">
        <f t="shared" si="10"/>
        <v>51602166.51035928</v>
      </c>
      <c r="AX52" s="431">
        <f t="shared" si="5"/>
        <v>22521233.48964072</v>
      </c>
      <c r="AY52" s="207">
        <v>121366184</v>
      </c>
      <c r="AZ52" s="149">
        <v>1</v>
      </c>
    </row>
    <row r="53" spans="1:53" ht="15">
      <c r="A53" s="573">
        <v>20</v>
      </c>
      <c r="B53" s="575" t="s">
        <v>98</v>
      </c>
      <c r="C53" s="576">
        <v>1247</v>
      </c>
      <c r="D53" s="577">
        <v>36230316</v>
      </c>
      <c r="E53" s="578">
        <f>+D53*$E$31</f>
        <v>25361221.199999999</v>
      </c>
      <c r="F53" s="579">
        <f>+D53*$F$31</f>
        <v>10869094.799999999</v>
      </c>
      <c r="G53" s="580"/>
      <c r="H53" s="324">
        <f t="shared" si="6"/>
        <v>36230316</v>
      </c>
      <c r="I53" s="252"/>
      <c r="J53" s="221"/>
      <c r="K53" s="252">
        <v>25361221.199999999</v>
      </c>
      <c r="L53" s="206"/>
      <c r="M53" s="206"/>
      <c r="N53" s="206"/>
      <c r="O53" s="212"/>
      <c r="P53" s="212"/>
      <c r="Q53" s="212"/>
      <c r="R53" s="212">
        <v>1414085.2033212583</v>
      </c>
      <c r="S53" s="212">
        <v>9455009.5966787413</v>
      </c>
      <c r="T53" s="248"/>
      <c r="U53" s="235"/>
      <c r="V53" s="206"/>
      <c r="W53" s="206">
        <v>25361221.199999999</v>
      </c>
      <c r="X53" s="206"/>
      <c r="Y53" s="206"/>
      <c r="Z53" s="206"/>
      <c r="AA53" s="206"/>
      <c r="AB53" s="206"/>
      <c r="AC53" s="206"/>
      <c r="AD53" s="206">
        <v>1414085.2033212583</v>
      </c>
      <c r="AE53" s="206">
        <v>9455009.5966787413</v>
      </c>
      <c r="AF53" s="206"/>
      <c r="AG53" s="219">
        <f t="shared" si="7"/>
        <v>36230316</v>
      </c>
      <c r="AH53" s="124">
        <f t="shared" si="8"/>
        <v>0</v>
      </c>
      <c r="AK53" s="235"/>
      <c r="AL53" s="206"/>
      <c r="AM53" s="206"/>
      <c r="AN53" s="206"/>
      <c r="AO53" s="206"/>
      <c r="AP53" s="206"/>
      <c r="AQ53" s="206"/>
      <c r="AR53" s="206">
        <v>14882975.106141742</v>
      </c>
      <c r="AS53" s="206"/>
      <c r="AT53" s="206"/>
      <c r="AU53" s="206">
        <v>8729235.8618140686</v>
      </c>
      <c r="AV53" s="227">
        <v>1610091.2868643124</v>
      </c>
      <c r="AW53" s="228">
        <f t="shared" si="10"/>
        <v>25222302.254820123</v>
      </c>
      <c r="AX53" s="431">
        <f t="shared" si="5"/>
        <v>11008013.745179877</v>
      </c>
      <c r="AZ53" s="502">
        <f>+(AX50*$AZ$52)/$AY$51</f>
        <v>6.2028315666664738E-2</v>
      </c>
      <c r="BA53" s="207">
        <f>+$BA$50*AZ53</f>
        <v>814419.99932333129</v>
      </c>
    </row>
    <row r="54" spans="1:53" ht="15">
      <c r="A54" s="573">
        <v>21</v>
      </c>
      <c r="B54" s="575" t="s">
        <v>84</v>
      </c>
      <c r="C54" s="576">
        <v>2123</v>
      </c>
      <c r="D54" s="577">
        <v>19641216</v>
      </c>
      <c r="E54" s="578">
        <f>+D54*$E$31</f>
        <v>13748851.199999999</v>
      </c>
      <c r="F54" s="579">
        <f>+D54*$F$31</f>
        <v>5892364.7999999998</v>
      </c>
      <c r="G54" s="580"/>
      <c r="H54" s="324">
        <f t="shared" si="6"/>
        <v>19641216</v>
      </c>
      <c r="I54" s="252"/>
      <c r="J54" s="221"/>
      <c r="K54" s="252"/>
      <c r="L54" s="206">
        <v>13748851</v>
      </c>
      <c r="M54" s="206"/>
      <c r="N54" s="206"/>
      <c r="O54" s="212"/>
      <c r="P54" s="212"/>
      <c r="Q54" s="212"/>
      <c r="R54" s="212">
        <v>5892365</v>
      </c>
      <c r="S54" s="212"/>
      <c r="T54" s="248"/>
      <c r="U54" s="235"/>
      <c r="V54" s="206"/>
      <c r="W54" s="206"/>
      <c r="X54" s="206">
        <v>13748851</v>
      </c>
      <c r="Y54" s="206"/>
      <c r="Z54" s="206"/>
      <c r="AA54" s="206"/>
      <c r="AB54" s="206"/>
      <c r="AC54" s="206"/>
      <c r="AD54" s="206">
        <v>5892365</v>
      </c>
      <c r="AE54" s="206"/>
      <c r="AF54" s="206"/>
      <c r="AG54" s="219">
        <f t="shared" si="7"/>
        <v>19641216</v>
      </c>
      <c r="AH54" s="124">
        <f t="shared" si="8"/>
        <v>0</v>
      </c>
      <c r="AK54" s="235"/>
      <c r="AL54" s="206"/>
      <c r="AM54" s="206"/>
      <c r="AN54" s="206"/>
      <c r="AO54" s="206"/>
      <c r="AP54" s="206"/>
      <c r="AQ54" s="206">
        <v>1195920</v>
      </c>
      <c r="AR54" s="206"/>
      <c r="AS54" s="206"/>
      <c r="AT54" s="206">
        <v>5022864</v>
      </c>
      <c r="AU54" s="206">
        <v>1946241</v>
      </c>
      <c r="AV54" s="227"/>
      <c r="AW54" s="228">
        <f t="shared" si="10"/>
        <v>8165025</v>
      </c>
      <c r="AX54" s="431">
        <f t="shared" si="5"/>
        <v>11476191</v>
      </c>
      <c r="AZ54" s="502">
        <f>+(AX51*$AZ$52)/$AY$51</f>
        <v>0.56445767256664892</v>
      </c>
      <c r="BA54" s="207">
        <f>+$BA$50*AZ54</f>
        <v>7411221.9938423131</v>
      </c>
    </row>
    <row r="55" spans="1:53" ht="15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6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7"/>
        <v>0</v>
      </c>
      <c r="AH55" s="124">
        <f t="shared" si="8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1">
        <f t="shared" si="5"/>
        <v>0</v>
      </c>
      <c r="AZ55" s="502">
        <f>+(AX52*$AZ$52)/$AY$51</f>
        <v>0.25088533040234728</v>
      </c>
      <c r="BA55" s="207">
        <f>+$BA$50*AZ55</f>
        <v>3294076.7199700433</v>
      </c>
    </row>
    <row r="56" spans="1:53" ht="15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6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7"/>
        <v>0</v>
      </c>
      <c r="AH56" s="124">
        <f t="shared" si="8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1">
        <f t="shared" si="5"/>
        <v>0</v>
      </c>
      <c r="AZ56" s="502">
        <f>+(AX53*$AZ$52)/$AY$51</f>
        <v>0.12262868136433905</v>
      </c>
      <c r="BA56" s="207">
        <f>+$BA$50*AZ56</f>
        <v>1610091.2868643124</v>
      </c>
    </row>
    <row r="57" spans="1:53" ht="15">
      <c r="A57" s="573">
        <v>24</v>
      </c>
      <c r="B57" s="575" t="s">
        <v>87</v>
      </c>
      <c r="C57" s="576">
        <v>2124</v>
      </c>
      <c r="D57" s="577">
        <v>119152145</v>
      </c>
      <c r="E57" s="578">
        <f>+D57*E31</f>
        <v>83406501.5</v>
      </c>
      <c r="F57" s="579">
        <f>+D57*F31</f>
        <v>35745643.5</v>
      </c>
      <c r="G57" s="580"/>
      <c r="H57" s="324">
        <f t="shared" si="6"/>
        <v>119152145</v>
      </c>
      <c r="I57" s="252"/>
      <c r="J57" s="221"/>
      <c r="K57" s="252"/>
      <c r="L57" s="206">
        <v>83406501</v>
      </c>
      <c r="M57" s="206"/>
      <c r="N57" s="206"/>
      <c r="O57" s="212"/>
      <c r="P57" s="212"/>
      <c r="Q57" s="212"/>
      <c r="R57" s="212">
        <v>35745644</v>
      </c>
      <c r="S57" s="212"/>
      <c r="T57" s="248"/>
      <c r="U57" s="235"/>
      <c r="V57" s="206"/>
      <c r="W57" s="206"/>
      <c r="X57" s="206">
        <v>83406501</v>
      </c>
      <c r="Y57" s="206"/>
      <c r="Z57" s="206"/>
      <c r="AA57" s="206"/>
      <c r="AB57" s="206"/>
      <c r="AC57" s="206"/>
      <c r="AD57" s="206">
        <v>35745644</v>
      </c>
      <c r="AE57" s="206"/>
      <c r="AF57" s="206"/>
      <c r="AG57" s="219">
        <f t="shared" si="7"/>
        <v>119152145</v>
      </c>
      <c r="AH57" s="124">
        <f t="shared" si="8"/>
        <v>0</v>
      </c>
      <c r="AK57" s="235"/>
      <c r="AL57" s="206"/>
      <c r="AM57" s="206"/>
      <c r="AN57" s="206"/>
      <c r="AO57" s="206"/>
      <c r="AP57" s="206"/>
      <c r="AQ57" s="206"/>
      <c r="AR57" s="206">
        <v>31326240</v>
      </c>
      <c r="AS57" s="206"/>
      <c r="AT57" s="206"/>
      <c r="AU57" s="206">
        <v>20884160</v>
      </c>
      <c r="AV57" s="227"/>
      <c r="AW57" s="228">
        <f t="shared" si="10"/>
        <v>52210400</v>
      </c>
      <c r="AX57" s="431">
        <f t="shared" si="5"/>
        <v>66941745</v>
      </c>
    </row>
    <row r="58" spans="1:53" s="190" customFormat="1" ht="28.5">
      <c r="A58" s="18">
        <v>25</v>
      </c>
      <c r="B58" s="182" t="s">
        <v>109</v>
      </c>
      <c r="C58" s="181" t="s">
        <v>233</v>
      </c>
      <c r="D58" s="183">
        <f>52604061+1745948</f>
        <v>54350009</v>
      </c>
      <c r="E58" s="184">
        <f>+D58*E31</f>
        <v>38045006.299999997</v>
      </c>
      <c r="F58" s="185">
        <f>+D58*F31</f>
        <v>16305002.699999999</v>
      </c>
      <c r="G58" s="341"/>
      <c r="H58" s="361">
        <f t="shared" si="6"/>
        <v>53874203</v>
      </c>
      <c r="I58" s="253"/>
      <c r="J58" s="232"/>
      <c r="K58" s="253"/>
      <c r="L58" s="231">
        <v>36822842</v>
      </c>
      <c r="M58" s="231"/>
      <c r="N58" s="231"/>
      <c r="O58" s="212"/>
      <c r="P58" s="212"/>
      <c r="Q58" s="212">
        <v>889099</v>
      </c>
      <c r="R58" s="212">
        <v>15781219</v>
      </c>
      <c r="S58" s="212">
        <v>381043</v>
      </c>
      <c r="T58" s="248"/>
      <c r="U58" s="238"/>
      <c r="V58" s="231"/>
      <c r="W58" s="231"/>
      <c r="X58" s="231">
        <v>36822842</v>
      </c>
      <c r="Y58" s="231"/>
      <c r="Z58" s="231"/>
      <c r="AA58" s="231"/>
      <c r="AB58" s="231"/>
      <c r="AC58" s="231">
        <v>889099</v>
      </c>
      <c r="AD58" s="231">
        <v>15781219</v>
      </c>
      <c r="AE58" s="231">
        <v>381043</v>
      </c>
      <c r="AF58" s="231"/>
      <c r="AG58" s="359">
        <f t="shared" si="7"/>
        <v>53874203</v>
      </c>
      <c r="AH58" s="350">
        <f t="shared" si="8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>
        <v>387677</v>
      </c>
      <c r="AV58" s="436">
        <v>4224124</v>
      </c>
      <c r="AW58" s="450">
        <f t="shared" si="10"/>
        <v>4611801</v>
      </c>
      <c r="AX58" s="431">
        <f t="shared" si="5"/>
        <v>49262402</v>
      </c>
    </row>
    <row r="59" spans="1:53" ht="15">
      <c r="A59" s="18">
        <v>26</v>
      </c>
      <c r="B59" s="7" t="s">
        <v>88</v>
      </c>
      <c r="C59" s="147"/>
      <c r="D59" s="13">
        <f>+D58-H58</f>
        <v>475806</v>
      </c>
      <c r="E59" s="142"/>
      <c r="F59" s="143"/>
      <c r="G59" s="160"/>
      <c r="H59" s="324">
        <f t="shared" si="6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7"/>
        <v>0</v>
      </c>
      <c r="AH59" s="124">
        <f t="shared" si="8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5"/>
        <v>0</v>
      </c>
    </row>
    <row r="60" spans="1:53" ht="15">
      <c r="A60" s="573">
        <v>27</v>
      </c>
      <c r="B60" s="575" t="s">
        <v>89</v>
      </c>
      <c r="C60" s="576" t="s">
        <v>106</v>
      </c>
      <c r="D60" s="577">
        <f>415341756+416585904</f>
        <v>831927660</v>
      </c>
      <c r="E60" s="578">
        <f>+D60*G31</f>
        <v>69327305.000000015</v>
      </c>
      <c r="F60" s="579">
        <f>+D60*G31</f>
        <v>69327305.000000015</v>
      </c>
      <c r="G60" s="580">
        <f>+D60*G31</f>
        <v>69327305.000000015</v>
      </c>
      <c r="H60" s="324">
        <f t="shared" si="6"/>
        <v>831927660</v>
      </c>
      <c r="I60" s="252"/>
      <c r="J60" s="221"/>
      <c r="K60" s="252">
        <v>207981915</v>
      </c>
      <c r="L60" s="206">
        <v>69327305</v>
      </c>
      <c r="M60" s="206">
        <v>69327305</v>
      </c>
      <c r="N60" s="206">
        <v>69327305</v>
      </c>
      <c r="O60" s="212">
        <v>69327305</v>
      </c>
      <c r="P60" s="212">
        <v>69327305</v>
      </c>
      <c r="Q60" s="212">
        <v>69327305</v>
      </c>
      <c r="R60" s="212">
        <v>69327305</v>
      </c>
      <c r="S60" s="212">
        <v>69327305</v>
      </c>
      <c r="T60" s="248">
        <v>69327305</v>
      </c>
      <c r="U60" s="235"/>
      <c r="V60" s="206"/>
      <c r="W60" s="206">
        <v>207981915</v>
      </c>
      <c r="X60" s="206">
        <v>69327305</v>
      </c>
      <c r="Y60" s="206">
        <v>69327305</v>
      </c>
      <c r="Z60" s="206">
        <v>69327305</v>
      </c>
      <c r="AA60" s="206">
        <v>69327305</v>
      </c>
      <c r="AB60" s="206">
        <v>69327305</v>
      </c>
      <c r="AC60" s="206">
        <v>69327305</v>
      </c>
      <c r="AD60" s="206">
        <v>69327305</v>
      </c>
      <c r="AE60" s="206">
        <v>69327305</v>
      </c>
      <c r="AF60" s="206">
        <v>69327305</v>
      </c>
      <c r="AG60" s="219">
        <f t="shared" si="7"/>
        <v>831927660</v>
      </c>
      <c r="AH60" s="124">
        <f t="shared" si="8"/>
        <v>0</v>
      </c>
      <c r="AK60" s="235"/>
      <c r="AL60" s="206"/>
      <c r="AM60" s="206"/>
      <c r="AN60" s="206"/>
      <c r="AO60" s="206"/>
      <c r="AP60" s="206"/>
      <c r="AQ60" s="206">
        <v>462565717</v>
      </c>
      <c r="AR60" s="206">
        <v>77230586</v>
      </c>
      <c r="AS60" s="206"/>
      <c r="AT60" s="206">
        <v>76904555</v>
      </c>
      <c r="AU60" s="206">
        <v>74787036</v>
      </c>
      <c r="AV60" s="227">
        <v>75431270</v>
      </c>
      <c r="AW60" s="228">
        <f t="shared" si="10"/>
        <v>766919164</v>
      </c>
      <c r="AX60" s="431">
        <f t="shared" si="5"/>
        <v>65008496</v>
      </c>
    </row>
    <row r="61" spans="1:53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6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7"/>
        <v>0</v>
      </c>
      <c r="AH61" s="124">
        <f t="shared" si="8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1">
        <f t="shared" si="5"/>
        <v>0</v>
      </c>
    </row>
    <row r="62" spans="1:53" ht="15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6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7"/>
        <v>0</v>
      </c>
      <c r="AH62" s="124">
        <f t="shared" si="8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1">
        <f t="shared" si="5"/>
        <v>0</v>
      </c>
    </row>
    <row r="63" spans="1:53" ht="15">
      <c r="A63" s="573">
        <v>30</v>
      </c>
      <c r="B63" s="575" t="s">
        <v>90</v>
      </c>
      <c r="C63" s="576">
        <v>2119</v>
      </c>
      <c r="D63" s="577">
        <v>691049321</v>
      </c>
      <c r="E63" s="578">
        <f>+D63*E31</f>
        <v>483734524.69999999</v>
      </c>
      <c r="F63" s="579">
        <f>+D63*F31</f>
        <v>207314796.29999998</v>
      </c>
      <c r="G63" s="580"/>
      <c r="H63" s="324">
        <f t="shared" si="6"/>
        <v>691049321</v>
      </c>
      <c r="I63" s="252"/>
      <c r="J63" s="221"/>
      <c r="K63" s="252"/>
      <c r="L63" s="206">
        <v>483734525</v>
      </c>
      <c r="M63" s="206"/>
      <c r="N63" s="206"/>
      <c r="O63" s="212"/>
      <c r="P63" s="212"/>
      <c r="Q63" s="212"/>
      <c r="R63" s="212">
        <v>207314796</v>
      </c>
      <c r="S63" s="212"/>
      <c r="T63" s="248"/>
      <c r="U63" s="235"/>
      <c r="V63" s="206"/>
      <c r="W63" s="206"/>
      <c r="X63" s="206">
        <v>483734525</v>
      </c>
      <c r="Y63" s="206"/>
      <c r="Z63" s="206"/>
      <c r="AA63" s="206"/>
      <c r="AB63" s="206"/>
      <c r="AC63" s="206"/>
      <c r="AD63" s="206">
        <v>207314796</v>
      </c>
      <c r="AE63" s="206"/>
      <c r="AF63" s="206"/>
      <c r="AG63" s="219">
        <f t="shared" si="7"/>
        <v>691049321</v>
      </c>
      <c r="AH63" s="124">
        <f t="shared" si="8"/>
        <v>0</v>
      </c>
      <c r="AK63" s="235"/>
      <c r="AL63" s="206"/>
      <c r="AM63" s="206"/>
      <c r="AN63" s="206"/>
      <c r="AO63" s="206"/>
      <c r="AP63" s="206"/>
      <c r="AQ63" s="206"/>
      <c r="AR63" s="206"/>
      <c r="AS63" s="206">
        <v>151791754</v>
      </c>
      <c r="AT63" s="206">
        <v>34584290</v>
      </c>
      <c r="AU63" s="206">
        <v>18697632</v>
      </c>
      <c r="AV63" s="227">
        <v>58463901</v>
      </c>
      <c r="AW63" s="228">
        <f t="shared" si="10"/>
        <v>263537577</v>
      </c>
      <c r="AX63" s="431">
        <f t="shared" si="5"/>
        <v>427511744</v>
      </c>
    </row>
    <row r="64" spans="1:53" ht="15">
      <c r="A64" s="573">
        <v>31</v>
      </c>
      <c r="B64" s="575" t="s">
        <v>91</v>
      </c>
      <c r="C64" s="576">
        <v>1607</v>
      </c>
      <c r="D64" s="577">
        <v>41944306</v>
      </c>
      <c r="E64" s="578">
        <f>+D64*E31</f>
        <v>29361014.199999999</v>
      </c>
      <c r="F64" s="579">
        <f>+D64*F31</f>
        <v>12583291.799999999</v>
      </c>
      <c r="G64" s="580"/>
      <c r="H64" s="324">
        <f t="shared" si="6"/>
        <v>41944306</v>
      </c>
      <c r="I64" s="252"/>
      <c r="J64" s="221"/>
      <c r="K64" s="252">
        <v>29361014</v>
      </c>
      <c r="L64" s="206"/>
      <c r="M64" s="206"/>
      <c r="N64" s="206"/>
      <c r="O64" s="212"/>
      <c r="P64" s="212"/>
      <c r="Q64" s="212"/>
      <c r="R64" s="212">
        <v>12583292</v>
      </c>
      <c r="S64" s="212"/>
      <c r="T64" s="248"/>
      <c r="U64" s="235"/>
      <c r="V64" s="206"/>
      <c r="W64" s="206">
        <v>29361014</v>
      </c>
      <c r="X64" s="206"/>
      <c r="Y64" s="206"/>
      <c r="Z64" s="206"/>
      <c r="AA64" s="206"/>
      <c r="AB64" s="206"/>
      <c r="AC64" s="206"/>
      <c r="AD64" s="206"/>
      <c r="AE64" s="206">
        <v>12583292</v>
      </c>
      <c r="AF64" s="206"/>
      <c r="AG64" s="219">
        <f t="shared" si="7"/>
        <v>41944306</v>
      </c>
      <c r="AH64" s="124">
        <f t="shared" si="8"/>
        <v>0</v>
      </c>
      <c r="AK64" s="235"/>
      <c r="AL64" s="206"/>
      <c r="AM64" s="206"/>
      <c r="AN64" s="206"/>
      <c r="AO64" s="206"/>
      <c r="AP64" s="206"/>
      <c r="AQ64" s="206">
        <v>2250504</v>
      </c>
      <c r="AR64" s="206"/>
      <c r="AS64" s="206">
        <v>8028970</v>
      </c>
      <c r="AT64" s="206"/>
      <c r="AU64" s="206">
        <v>7567561</v>
      </c>
      <c r="AV64" s="227">
        <v>6300809</v>
      </c>
      <c r="AW64" s="228">
        <f t="shared" si="10"/>
        <v>24147844</v>
      </c>
      <c r="AX64" s="431">
        <f t="shared" si="5"/>
        <v>17796462</v>
      </c>
    </row>
    <row r="65" spans="1:50" ht="15">
      <c r="A65" s="573">
        <v>32</v>
      </c>
      <c r="B65" s="575" t="s">
        <v>92</v>
      </c>
      <c r="C65" s="576">
        <v>1383</v>
      </c>
      <c r="D65" s="577">
        <v>36708000</v>
      </c>
      <c r="E65" s="578">
        <f>+D65*E31</f>
        <v>25695600</v>
      </c>
      <c r="F65" s="579">
        <f>+D65*F31</f>
        <v>11012400</v>
      </c>
      <c r="G65" s="580"/>
      <c r="H65" s="324">
        <f t="shared" si="6"/>
        <v>36708000</v>
      </c>
      <c r="I65" s="252"/>
      <c r="J65" s="221"/>
      <c r="K65" s="252">
        <v>25695600</v>
      </c>
      <c r="L65" s="206"/>
      <c r="M65" s="206"/>
      <c r="N65" s="206"/>
      <c r="O65" s="212"/>
      <c r="P65" s="212"/>
      <c r="Q65" s="212"/>
      <c r="R65" s="212">
        <v>11012400</v>
      </c>
      <c r="S65" s="212"/>
      <c r="T65" s="248"/>
      <c r="U65" s="235"/>
      <c r="V65" s="206"/>
      <c r="W65" s="206">
        <v>25695600</v>
      </c>
      <c r="X65" s="206"/>
      <c r="Y65" s="206"/>
      <c r="Z65" s="206"/>
      <c r="AA65" s="206"/>
      <c r="AB65" s="206"/>
      <c r="AC65" s="206"/>
      <c r="AD65" s="206">
        <v>11012400</v>
      </c>
      <c r="AE65" s="206"/>
      <c r="AF65" s="206"/>
      <c r="AG65" s="219">
        <f t="shared" si="7"/>
        <v>36708000</v>
      </c>
      <c r="AH65" s="124">
        <f t="shared" si="8"/>
        <v>0</v>
      </c>
      <c r="AK65" s="235"/>
      <c r="AL65" s="206"/>
      <c r="AM65" s="206"/>
      <c r="AN65" s="206"/>
      <c r="AO65" s="206"/>
      <c r="AP65" s="206"/>
      <c r="AQ65" s="206"/>
      <c r="AR65" s="206">
        <v>15203716</v>
      </c>
      <c r="AS65" s="206">
        <v>2996784</v>
      </c>
      <c r="AT65" s="206">
        <v>2996784</v>
      </c>
      <c r="AU65" s="206">
        <v>3196784</v>
      </c>
      <c r="AV65" s="227">
        <v>3196784</v>
      </c>
      <c r="AW65" s="228">
        <f t="shared" si="10"/>
        <v>27590852</v>
      </c>
      <c r="AX65" s="431">
        <f t="shared" si="5"/>
        <v>9117148</v>
      </c>
    </row>
    <row r="66" spans="1:50" ht="15">
      <c r="A66" s="573">
        <v>33</v>
      </c>
      <c r="B66" s="568" t="s">
        <v>107</v>
      </c>
      <c r="C66" s="569">
        <v>2122</v>
      </c>
      <c r="D66" s="567">
        <v>44626600</v>
      </c>
      <c r="E66" s="563">
        <f>+D66*E31</f>
        <v>31238619.999999996</v>
      </c>
      <c r="F66" s="564">
        <f>+D66*F31</f>
        <v>13387980</v>
      </c>
      <c r="G66" s="565"/>
      <c r="H66" s="324">
        <f t="shared" si="6"/>
        <v>44626600</v>
      </c>
      <c r="I66" s="254"/>
      <c r="J66" s="222"/>
      <c r="K66" s="254"/>
      <c r="L66" s="210">
        <v>31238620</v>
      </c>
      <c r="M66" s="210"/>
      <c r="N66" s="210"/>
      <c r="O66" s="212"/>
      <c r="P66" s="212"/>
      <c r="Q66" s="212"/>
      <c r="R66" s="212">
        <v>13387980</v>
      </c>
      <c r="S66" s="212"/>
      <c r="T66" s="248"/>
      <c r="U66" s="236"/>
      <c r="V66" s="210"/>
      <c r="W66" s="210"/>
      <c r="X66" s="210">
        <v>31238620</v>
      </c>
      <c r="Y66" s="210"/>
      <c r="Z66" s="210"/>
      <c r="AA66" s="210"/>
      <c r="AB66" s="210"/>
      <c r="AC66" s="210"/>
      <c r="AD66" s="210">
        <v>13387980</v>
      </c>
      <c r="AE66" s="210"/>
      <c r="AF66" s="210"/>
      <c r="AG66" s="219">
        <f t="shared" si="7"/>
        <v>44626600</v>
      </c>
      <c r="AH66" s="124">
        <f t="shared" si="8"/>
        <v>0</v>
      </c>
      <c r="AK66" s="236"/>
      <c r="AL66" s="210"/>
      <c r="AM66" s="210"/>
      <c r="AN66" s="210"/>
      <c r="AO66" s="210"/>
      <c r="AP66" s="210"/>
      <c r="AQ66" s="210">
        <v>3109392</v>
      </c>
      <c r="AR66" s="210"/>
      <c r="AS66" s="210"/>
      <c r="AT66" s="210"/>
      <c r="AU66" s="210"/>
      <c r="AV66" s="229"/>
      <c r="AW66" s="228">
        <f t="shared" si="10"/>
        <v>3109392</v>
      </c>
      <c r="AX66" s="431">
        <f t="shared" si="5"/>
        <v>41517208</v>
      </c>
    </row>
    <row r="67" spans="1:50" ht="15">
      <c r="A67" s="573">
        <v>34</v>
      </c>
      <c r="B67" s="568" t="s">
        <v>180</v>
      </c>
      <c r="C67" s="569" t="s">
        <v>310</v>
      </c>
      <c r="D67" s="567">
        <f>24058271+401986000+34026965+268978417+114201688</f>
        <v>843251341</v>
      </c>
      <c r="E67" s="563">
        <v>16840789.699999999</v>
      </c>
      <c r="F67" s="564">
        <v>7217481.2999999998</v>
      </c>
      <c r="G67" s="565">
        <f>401986000+34026965+268978417</f>
        <v>704991382</v>
      </c>
      <c r="H67" s="324">
        <f t="shared" si="6"/>
        <v>843251341</v>
      </c>
      <c r="I67" s="254"/>
      <c r="J67" s="222"/>
      <c r="K67" s="254">
        <v>16840789</v>
      </c>
      <c r="L67" s="210">
        <v>264549411</v>
      </c>
      <c r="M67" s="210">
        <v>168012596</v>
      </c>
      <c r="N67" s="210"/>
      <c r="O67" s="212"/>
      <c r="P67" s="212">
        <v>188284892</v>
      </c>
      <c r="Q67" s="212"/>
      <c r="R67" s="212">
        <f>68682660+22679305</f>
        <v>91361965</v>
      </c>
      <c r="S67" s="212">
        <f>118789647-1793980-2793979</f>
        <v>114201688</v>
      </c>
      <c r="T67" s="248"/>
      <c r="U67" s="236"/>
      <c r="V67" s="210"/>
      <c r="W67" s="210">
        <v>16840789</v>
      </c>
      <c r="X67" s="210">
        <v>264549411</v>
      </c>
      <c r="Y67" s="210">
        <v>168012596</v>
      </c>
      <c r="Z67" s="210"/>
      <c r="AA67" s="210"/>
      <c r="AB67" s="210">
        <v>188284892</v>
      </c>
      <c r="AC67" s="210"/>
      <c r="AD67" s="210">
        <f>68682660+22679305</f>
        <v>91361965</v>
      </c>
      <c r="AE67" s="210">
        <v>114201688</v>
      </c>
      <c r="AF67" s="210"/>
      <c r="AG67" s="219">
        <f t="shared" si="7"/>
        <v>843251341</v>
      </c>
      <c r="AH67" s="124">
        <f t="shared" si="8"/>
        <v>0</v>
      </c>
      <c r="AK67" s="236"/>
      <c r="AL67" s="210"/>
      <c r="AM67" s="210"/>
      <c r="AN67" s="210"/>
      <c r="AO67" s="210"/>
      <c r="AP67" s="210"/>
      <c r="AQ67" s="210">
        <v>46240904</v>
      </c>
      <c r="AR67" s="210"/>
      <c r="AS67" s="210">
        <v>82135924</v>
      </c>
      <c r="AT67" s="210"/>
      <c r="AU67" s="210">
        <v>42917548</v>
      </c>
      <c r="AV67" s="229"/>
      <c r="AW67" s="228">
        <f t="shared" si="10"/>
        <v>171294376</v>
      </c>
      <c r="AX67" s="431">
        <f t="shared" si="5"/>
        <v>671956965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24">
        <f t="shared" si="6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si="8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1">
        <f t="shared" si="5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6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8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1">
        <f t="shared" si="5"/>
        <v>0</v>
      </c>
    </row>
    <row r="70" spans="1:50" ht="15">
      <c r="A70" s="573">
        <v>37</v>
      </c>
      <c r="B70" s="568" t="s">
        <v>132</v>
      </c>
      <c r="C70" s="569">
        <v>2259</v>
      </c>
      <c r="D70" s="567">
        <v>154077637</v>
      </c>
      <c r="E70" s="563">
        <f>+D70*0.5</f>
        <v>77038818.5</v>
      </c>
      <c r="F70" s="564">
        <f>+D70*0.25</f>
        <v>38519409.25</v>
      </c>
      <c r="G70" s="565">
        <f>+D70*0.25</f>
        <v>38519409.25</v>
      </c>
      <c r="H70" s="324">
        <f t="shared" si="6"/>
        <v>154077637</v>
      </c>
      <c r="I70" s="254"/>
      <c r="J70" s="222"/>
      <c r="K70" s="254"/>
      <c r="L70" s="210"/>
      <c r="M70" s="210">
        <v>77038818</v>
      </c>
      <c r="N70" s="210"/>
      <c r="O70" s="212"/>
      <c r="P70" s="212">
        <v>38519409</v>
      </c>
      <c r="Q70" s="212"/>
      <c r="R70" s="212">
        <v>38519410</v>
      </c>
      <c r="S70" s="212"/>
      <c r="T70" s="248"/>
      <c r="U70" s="236"/>
      <c r="V70" s="210"/>
      <c r="W70" s="210"/>
      <c r="X70" s="210"/>
      <c r="Y70" s="210">
        <v>77038818</v>
      </c>
      <c r="Z70" s="210"/>
      <c r="AA70" s="210"/>
      <c r="AB70" s="210"/>
      <c r="AC70" s="210">
        <v>38519409</v>
      </c>
      <c r="AD70" s="210">
        <v>38519410</v>
      </c>
      <c r="AE70" s="210"/>
      <c r="AF70" s="210"/>
      <c r="AG70" s="219">
        <f t="shared" si="11"/>
        <v>154077637</v>
      </c>
      <c r="AH70" s="124">
        <f t="shared" si="8"/>
        <v>0</v>
      </c>
      <c r="AK70" s="236"/>
      <c r="AL70" s="210"/>
      <c r="AM70" s="210"/>
      <c r="AN70" s="210"/>
      <c r="AO70" s="210"/>
      <c r="AP70" s="210"/>
      <c r="AQ70" s="210"/>
      <c r="AR70" s="210"/>
      <c r="AS70" s="210">
        <v>85239267</v>
      </c>
      <c r="AT70" s="210"/>
      <c r="AU70" s="210">
        <v>23303426</v>
      </c>
      <c r="AV70" s="229"/>
      <c r="AW70" s="228">
        <f t="shared" si="12"/>
        <v>108542693</v>
      </c>
      <c r="AX70" s="431">
        <f t="shared" si="5"/>
        <v>45534944</v>
      </c>
    </row>
    <row r="71" spans="1:50" ht="15">
      <c r="A71" s="18">
        <v>38</v>
      </c>
      <c r="B71" s="52" t="s">
        <v>129</v>
      </c>
      <c r="C71" s="148"/>
      <c r="D71" s="43"/>
      <c r="E71" s="174"/>
      <c r="F71" s="175"/>
      <c r="G71" s="176"/>
      <c r="H71" s="324">
        <f t="shared" si="6"/>
        <v>0</v>
      </c>
      <c r="I71" s="254"/>
      <c r="J71" s="222"/>
      <c r="K71" s="254"/>
      <c r="L71" s="210"/>
      <c r="M71" s="210"/>
      <c r="N71" s="210"/>
      <c r="O71" s="212"/>
      <c r="P71" s="212"/>
      <c r="Q71" s="212"/>
      <c r="R71" s="212"/>
      <c r="S71" s="212"/>
      <c r="T71" s="248"/>
      <c r="U71" s="236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9">
        <f t="shared" si="11"/>
        <v>0</v>
      </c>
      <c r="AH71" s="124">
        <f t="shared" si="8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1">
        <f t="shared" si="5"/>
        <v>0</v>
      </c>
    </row>
    <row r="72" spans="1:50" ht="15">
      <c r="A72" s="18">
        <v>39</v>
      </c>
      <c r="B72" s="52" t="s">
        <v>133</v>
      </c>
      <c r="C72" s="148">
        <v>2217</v>
      </c>
      <c r="D72" s="43">
        <v>9653040</v>
      </c>
      <c r="E72" s="174">
        <f>+D72*$H$31</f>
        <v>3217680</v>
      </c>
      <c r="F72" s="175">
        <f>+D72*$H$31</f>
        <v>3217680</v>
      </c>
      <c r="G72" s="176">
        <f>+D72*$H$31</f>
        <v>3217680</v>
      </c>
      <c r="H72" s="324">
        <f t="shared" si="6"/>
        <v>9653040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>
        <v>9653040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3185503.2</v>
      </c>
      <c r="AG72" s="219">
        <f t="shared" si="11"/>
        <v>3185503.2</v>
      </c>
      <c r="AH72" s="124">
        <f t="shared" si="8"/>
        <v>6467536.7999999998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2"/>
        <v>0</v>
      </c>
      <c r="AX72" s="431">
        <f t="shared" si="5"/>
        <v>3185503.2</v>
      </c>
    </row>
    <row r="73" spans="1:50" ht="15">
      <c r="A73" s="18">
        <v>40</v>
      </c>
      <c r="B73" s="52" t="s">
        <v>134</v>
      </c>
      <c r="C73" s="148">
        <v>2209</v>
      </c>
      <c r="D73" s="43">
        <v>27827410</v>
      </c>
      <c r="E73" s="174">
        <f>+D73*$H$31</f>
        <v>9275803.3333333321</v>
      </c>
      <c r="F73" s="175">
        <f>+D73*$H$31</f>
        <v>9275803.3333333321</v>
      </c>
      <c r="G73" s="176">
        <f>+D73*$H$31</f>
        <v>9275803.3333333321</v>
      </c>
      <c r="H73" s="324">
        <f t="shared" si="6"/>
        <v>27827410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>
        <v>27827410</v>
      </c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>
        <v>9183045.3000000007</v>
      </c>
      <c r="AG73" s="219">
        <f t="shared" si="11"/>
        <v>9183045.3000000007</v>
      </c>
      <c r="AH73" s="124">
        <f t="shared" si="8"/>
        <v>18644364.699999999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2"/>
        <v>0</v>
      </c>
      <c r="AX73" s="431">
        <f t="shared" si="5"/>
        <v>9183045.3000000007</v>
      </c>
    </row>
    <row r="74" spans="1:50" ht="15">
      <c r="A74" s="18">
        <v>41</v>
      </c>
      <c r="B74" s="52" t="s">
        <v>135</v>
      </c>
      <c r="C74" s="148">
        <v>2197</v>
      </c>
      <c r="D74" s="43">
        <v>15192480</v>
      </c>
      <c r="E74" s="174">
        <f>+D74*$H$31</f>
        <v>5064160</v>
      </c>
      <c r="F74" s="175">
        <f>+D74*$H$31</f>
        <v>5064160</v>
      </c>
      <c r="G74" s="176">
        <f>+D74*$H$31</f>
        <v>5064160</v>
      </c>
      <c r="H74" s="324">
        <f t="shared" si="6"/>
        <v>15192480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>
        <v>15192480</v>
      </c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>
        <v>5013518.4000000004</v>
      </c>
      <c r="AG74" s="219">
        <f t="shared" si="11"/>
        <v>5013518.4000000004</v>
      </c>
      <c r="AH74" s="124">
        <f t="shared" si="8"/>
        <v>10178961.6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2"/>
        <v>0</v>
      </c>
      <c r="AX74" s="431">
        <f t="shared" si="5"/>
        <v>5013518.4000000004</v>
      </c>
    </row>
    <row r="75" spans="1:50" ht="15">
      <c r="A75" s="18">
        <v>42</v>
      </c>
      <c r="B75" s="52" t="s">
        <v>171</v>
      </c>
      <c r="C75" s="148">
        <v>3245</v>
      </c>
      <c r="D75" s="43">
        <v>7564058</v>
      </c>
      <c r="E75" s="720" t="s">
        <v>172</v>
      </c>
      <c r="F75" s="721"/>
      <c r="G75" s="722"/>
      <c r="H75" s="324">
        <f t="shared" si="6"/>
        <v>7564058.4000000004</v>
      </c>
      <c r="I75" s="254"/>
      <c r="J75" s="222"/>
      <c r="K75" s="254"/>
      <c r="L75" s="210"/>
      <c r="M75" s="210"/>
      <c r="N75" s="210">
        <v>5294841</v>
      </c>
      <c r="O75" s="212"/>
      <c r="P75" s="212"/>
      <c r="Q75" s="212">
        <v>2269217.4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3">SUM(U75:AF75)</f>
        <v>0</v>
      </c>
      <c r="AH75" s="124">
        <f t="shared" si="8"/>
        <v>7564058.4000000004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1">
        <f t="shared" si="5"/>
        <v>0</v>
      </c>
    </row>
    <row r="76" spans="1:50" ht="15">
      <c r="A76" s="18">
        <v>43</v>
      </c>
      <c r="B76" s="52" t="s">
        <v>173</v>
      </c>
      <c r="C76" s="148">
        <v>3246</v>
      </c>
      <c r="D76" s="43">
        <v>15310650</v>
      </c>
      <c r="E76" s="720" t="s">
        <v>172</v>
      </c>
      <c r="F76" s="721"/>
      <c r="G76" s="722"/>
      <c r="H76" s="324">
        <f t="shared" si="6"/>
        <v>15310350</v>
      </c>
      <c r="I76" s="254"/>
      <c r="J76" s="222"/>
      <c r="K76" s="254"/>
      <c r="L76" s="210"/>
      <c r="M76" s="210"/>
      <c r="N76" s="210">
        <v>10717245</v>
      </c>
      <c r="O76" s="212"/>
      <c r="P76" s="212"/>
      <c r="Q76" s="212"/>
      <c r="R76" s="212"/>
      <c r="S76" s="212">
        <v>4593105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3"/>
        <v>0</v>
      </c>
      <c r="AH76" s="124">
        <f t="shared" si="8"/>
        <v>15310350</v>
      </c>
      <c r="AI76" s="170">
        <f>+AH75+AH76+AH77</f>
        <v>143882680.80000001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1">
        <f t="shared" si="5"/>
        <v>0</v>
      </c>
    </row>
    <row r="77" spans="1:50" ht="15">
      <c r="A77" s="18">
        <v>44</v>
      </c>
      <c r="B77" s="52" t="s">
        <v>188</v>
      </c>
      <c r="C77" s="148" t="s">
        <v>224</v>
      </c>
      <c r="D77" s="43">
        <f>67038138+179900448</f>
        <v>246938586</v>
      </c>
      <c r="E77" s="479">
        <f>179900448*0.7</f>
        <v>125930313.59999999</v>
      </c>
      <c r="F77" s="143">
        <f>179900448*0.3</f>
        <v>53970134.399999999</v>
      </c>
      <c r="G77" s="480"/>
      <c r="H77" s="324">
        <f t="shared" si="6"/>
        <v>246938586</v>
      </c>
      <c r="I77" s="254"/>
      <c r="J77" s="222"/>
      <c r="K77" s="254"/>
      <c r="L77" s="210"/>
      <c r="M77" s="210"/>
      <c r="N77" s="210"/>
      <c r="O77" s="212">
        <v>0</v>
      </c>
      <c r="P77" s="212">
        <v>172857010</v>
      </c>
      <c r="Q77" s="212">
        <v>74081576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125930313.59999999</v>
      </c>
      <c r="AC77" s="210"/>
      <c r="AD77" s="210"/>
      <c r="AE77" s="210"/>
      <c r="AF77" s="210"/>
      <c r="AG77" s="219">
        <f t="shared" si="13"/>
        <v>125930313.59999999</v>
      </c>
      <c r="AH77" s="124">
        <f t="shared" si="8"/>
        <v>121008272.40000001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>
        <v>122404270</v>
      </c>
      <c r="AV77" s="229"/>
      <c r="AW77" s="228">
        <f t="shared" si="14"/>
        <v>122404270</v>
      </c>
      <c r="AX77" s="431">
        <f t="shared" si="5"/>
        <v>3526043.599999994</v>
      </c>
    </row>
    <row r="78" spans="1:50" ht="15">
      <c r="A78" s="18">
        <v>45</v>
      </c>
      <c r="B78" s="52" t="s">
        <v>189</v>
      </c>
      <c r="C78" s="148" t="s">
        <v>195</v>
      </c>
      <c r="D78" s="43">
        <v>120000000</v>
      </c>
      <c r="E78" s="720" t="s">
        <v>172</v>
      </c>
      <c r="F78" s="721"/>
      <c r="G78" s="722"/>
      <c r="H78" s="324">
        <f t="shared" si="6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3"/>
        <v>0</v>
      </c>
      <c r="AH78" s="124">
        <f t="shared" si="8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1">
        <f>+AG78-AW78</f>
        <v>0</v>
      </c>
    </row>
    <row r="79" spans="1:50" ht="15">
      <c r="A79" s="573"/>
      <c r="B79" s="568" t="s">
        <v>205</v>
      </c>
      <c r="C79" s="569">
        <v>4589</v>
      </c>
      <c r="D79" s="567">
        <v>99507656</v>
      </c>
      <c r="E79" s="624">
        <f>+D79*0.7</f>
        <v>69655359.200000003</v>
      </c>
      <c r="F79" s="625">
        <f>+D79*0.3</f>
        <v>29852296.800000001</v>
      </c>
      <c r="G79" s="625"/>
      <c r="H79" s="324">
        <f t="shared" si="6"/>
        <v>99507656</v>
      </c>
      <c r="I79" s="254"/>
      <c r="J79" s="222"/>
      <c r="K79" s="254"/>
      <c r="L79" s="210"/>
      <c r="M79" s="210"/>
      <c r="N79" s="210"/>
      <c r="O79" s="212"/>
      <c r="P79" s="212"/>
      <c r="Q79" s="212">
        <v>69655359</v>
      </c>
      <c r="R79" s="212">
        <v>29852297</v>
      </c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>
        <v>69655359</v>
      </c>
      <c r="AD79" s="210">
        <v>29852297</v>
      </c>
      <c r="AE79" s="210"/>
      <c r="AF79" s="210"/>
      <c r="AG79" s="219">
        <f t="shared" si="13"/>
        <v>99507656</v>
      </c>
      <c r="AH79" s="124">
        <f t="shared" si="8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1">
        <f>+AG79-AW79</f>
        <v>99507656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176"/>
      <c r="H80" s="324">
        <f t="shared" si="6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3"/>
        <v>0</v>
      </c>
      <c r="AH80" s="124">
        <f t="shared" si="8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1">
        <f>+AG80-AW80</f>
        <v>0</v>
      </c>
    </row>
    <row r="81" spans="1:50" ht="15">
      <c r="A81" s="621"/>
      <c r="B81" s="568" t="s">
        <v>256</v>
      </c>
      <c r="C81" s="569">
        <v>5622</v>
      </c>
      <c r="D81" s="567">
        <v>32408135</v>
      </c>
      <c r="E81" s="563">
        <f>+D81</f>
        <v>32408135</v>
      </c>
      <c r="F81" s="564"/>
      <c r="G81" s="565"/>
      <c r="H81" s="324">
        <f t="shared" si="6"/>
        <v>32408135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32408135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32408135</v>
      </c>
      <c r="AE81" s="210"/>
      <c r="AF81" s="210"/>
      <c r="AG81" s="219">
        <f t="shared" si="13"/>
        <v>32408135</v>
      </c>
      <c r="AH81" s="124">
        <f t="shared" si="8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1">
        <f>+AG81-AW81</f>
        <v>32408135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24">
        <f t="shared" si="6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3"/>
        <v>0</v>
      </c>
      <c r="AH82" s="124">
        <f t="shared" si="8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4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SUM(D34:D81)</f>
        <v>5515408298</v>
      </c>
      <c r="E83" s="86"/>
      <c r="F83" s="87"/>
      <c r="G83" s="88"/>
      <c r="H83" s="348">
        <f t="shared" ref="H83:AG83" si="15">SUM(H34:H82)</f>
        <v>5394456344.5999994</v>
      </c>
      <c r="I83" s="255">
        <f t="shared" si="15"/>
        <v>0</v>
      </c>
      <c r="J83" s="256">
        <f t="shared" si="15"/>
        <v>0</v>
      </c>
      <c r="K83" s="256">
        <f t="shared" si="15"/>
        <v>1127065400.2</v>
      </c>
      <c r="L83" s="256">
        <f t="shared" si="15"/>
        <v>1247835680</v>
      </c>
      <c r="M83" s="256">
        <f t="shared" si="15"/>
        <v>555776189.39999998</v>
      </c>
      <c r="N83" s="256">
        <f t="shared" si="15"/>
        <v>125844800</v>
      </c>
      <c r="O83" s="256">
        <f t="shared" si="15"/>
        <v>102062714</v>
      </c>
      <c r="P83" s="256">
        <f t="shared" si="15"/>
        <v>501724025</v>
      </c>
      <c r="Q83" s="256">
        <f t="shared" si="15"/>
        <v>248957964.40000001</v>
      </c>
      <c r="R83" s="256">
        <f t="shared" si="15"/>
        <v>1078827758.2</v>
      </c>
      <c r="S83" s="256">
        <f t="shared" si="15"/>
        <v>270990345.79999995</v>
      </c>
      <c r="T83" s="256">
        <f t="shared" si="15"/>
        <v>135371467.59999999</v>
      </c>
      <c r="U83" s="241">
        <f t="shared" si="15"/>
        <v>0</v>
      </c>
      <c r="V83" s="241">
        <f t="shared" si="15"/>
        <v>0</v>
      </c>
      <c r="W83" s="241">
        <f t="shared" si="15"/>
        <v>1127065400</v>
      </c>
      <c r="X83" s="241">
        <f t="shared" si="15"/>
        <v>1247555682.2</v>
      </c>
      <c r="Y83" s="241">
        <f t="shared" si="15"/>
        <v>555776189.39999998</v>
      </c>
      <c r="Z83" s="241">
        <f t="shared" si="15"/>
        <v>109832714</v>
      </c>
      <c r="AA83" s="241">
        <f t="shared" si="15"/>
        <v>102062714</v>
      </c>
      <c r="AB83" s="241">
        <f t="shared" si="15"/>
        <v>416277919.60000002</v>
      </c>
      <c r="AC83" s="241">
        <f t="shared" si="15"/>
        <v>211126580</v>
      </c>
      <c r="AD83" s="241">
        <f t="shared" si="15"/>
        <v>1000820958.2</v>
      </c>
      <c r="AE83" s="241">
        <f t="shared" si="15"/>
        <v>291731110.79999995</v>
      </c>
      <c r="AF83" s="241">
        <f t="shared" si="15"/>
        <v>120018126.5</v>
      </c>
      <c r="AG83" s="241">
        <f t="shared" si="15"/>
        <v>5182267394.6999998</v>
      </c>
      <c r="AH83" s="125">
        <f>+H83-AG83</f>
        <v>212188949.89999962</v>
      </c>
      <c r="AK83" s="425">
        <f t="shared" ref="AK83:AX83" si="16">SUM(AK34:AK82)</f>
        <v>0</v>
      </c>
      <c r="AL83" s="425">
        <f t="shared" si="16"/>
        <v>0</v>
      </c>
      <c r="AM83" s="425">
        <f t="shared" si="16"/>
        <v>0</v>
      </c>
      <c r="AN83" s="425">
        <f t="shared" si="16"/>
        <v>0</v>
      </c>
      <c r="AO83" s="425">
        <f t="shared" si="16"/>
        <v>0</v>
      </c>
      <c r="AP83" s="425">
        <f t="shared" si="16"/>
        <v>98527130</v>
      </c>
      <c r="AQ83" s="425">
        <f t="shared" si="16"/>
        <v>618482364</v>
      </c>
      <c r="AR83" s="425">
        <f t="shared" si="16"/>
        <v>380934949</v>
      </c>
      <c r="AS83" s="425">
        <f t="shared" si="16"/>
        <v>444893854</v>
      </c>
      <c r="AT83" s="425">
        <f t="shared" si="16"/>
        <v>235695905</v>
      </c>
      <c r="AU83" s="425">
        <f t="shared" si="16"/>
        <v>536328721</v>
      </c>
      <c r="AV83" s="438">
        <f t="shared" si="16"/>
        <v>195561722</v>
      </c>
      <c r="AW83" s="451">
        <f t="shared" si="16"/>
        <v>2510424645</v>
      </c>
      <c r="AX83" s="429">
        <f t="shared" si="16"/>
        <v>2671842749.6999998</v>
      </c>
    </row>
    <row r="84" spans="1:50" s="376" customFormat="1" ht="15.75" thickBot="1">
      <c r="D84" s="377"/>
      <c r="E84" s="378"/>
      <c r="F84" s="378"/>
      <c r="G84" s="378"/>
      <c r="H84" s="379"/>
      <c r="I84" s="379"/>
      <c r="J84" s="379"/>
      <c r="K84" s="379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3451283</v>
      </c>
      <c r="V84" s="396">
        <v>3451285</v>
      </c>
      <c r="W84" s="395">
        <v>3451290</v>
      </c>
      <c r="X84" s="396">
        <v>3451292</v>
      </c>
      <c r="Y84" s="395">
        <v>3458680</v>
      </c>
      <c r="Z84" s="396">
        <v>3467968</v>
      </c>
      <c r="AA84" s="395">
        <v>3481349</v>
      </c>
      <c r="AB84" s="396">
        <v>3491839</v>
      </c>
      <c r="AC84" s="395">
        <v>3510177</v>
      </c>
      <c r="AD84" s="396">
        <v>3513799</v>
      </c>
      <c r="AE84" s="395"/>
      <c r="AF84" s="395"/>
      <c r="AG84" s="379"/>
      <c r="AS84" s="207"/>
      <c r="AW84" s="207"/>
    </row>
    <row r="85" spans="1:50" ht="15.75" thickBot="1">
      <c r="A85" s="761" t="s">
        <v>94</v>
      </c>
      <c r="B85" s="762"/>
      <c r="C85" s="763"/>
      <c r="D85" s="133">
        <f>+D83+D30</f>
        <v>27757409210</v>
      </c>
      <c r="E85" s="127"/>
      <c r="F85" s="128"/>
      <c r="G85" s="128"/>
      <c r="H85" s="242">
        <f>+H30</f>
        <v>25343717783.388119</v>
      </c>
      <c r="I85" s="215">
        <f t="shared" ref="I85:AH85" si="17">+I83+I30</f>
        <v>1853500076</v>
      </c>
      <c r="J85" s="215">
        <f t="shared" si="17"/>
        <v>1853482515</v>
      </c>
      <c r="K85" s="215">
        <f t="shared" si="17"/>
        <v>2980622364.8471203</v>
      </c>
      <c r="L85" s="215">
        <f t="shared" si="17"/>
        <v>3687455701</v>
      </c>
      <c r="M85" s="215">
        <f t="shared" si="17"/>
        <v>2409333153.4000001</v>
      </c>
      <c r="N85" s="215">
        <f t="shared" si="17"/>
        <v>2563837724</v>
      </c>
      <c r="O85" s="215">
        <f t="shared" si="17"/>
        <v>2675139921</v>
      </c>
      <c r="P85" s="215">
        <f t="shared" si="17"/>
        <v>2350174826</v>
      </c>
      <c r="Q85" s="215">
        <f t="shared" si="17"/>
        <v>2755199872.4000001</v>
      </c>
      <c r="R85" s="215">
        <f t="shared" si="17"/>
        <v>2926710358.1999998</v>
      </c>
      <c r="S85" s="215">
        <f t="shared" si="17"/>
        <v>2118872945.8</v>
      </c>
      <c r="T85" s="257">
        <f t="shared" si="17"/>
        <v>2563844670.3410001</v>
      </c>
      <c r="U85" s="242">
        <f t="shared" si="17"/>
        <v>1853500076</v>
      </c>
      <c r="V85" s="215">
        <f t="shared" si="17"/>
        <v>1853482515</v>
      </c>
      <c r="W85" s="285">
        <f t="shared" si="17"/>
        <v>2980622364</v>
      </c>
      <c r="X85" s="242">
        <f t="shared" si="17"/>
        <v>3687175703.1999998</v>
      </c>
      <c r="Y85" s="215">
        <f t="shared" si="17"/>
        <v>2409333153.4000001</v>
      </c>
      <c r="Z85" s="285">
        <f t="shared" si="17"/>
        <v>2547825638</v>
      </c>
      <c r="AA85" s="242">
        <f t="shared" si="17"/>
        <v>2675139921</v>
      </c>
      <c r="AB85" s="215">
        <f t="shared" si="17"/>
        <v>2264728720.5999999</v>
      </c>
      <c r="AC85" s="285">
        <f t="shared" si="17"/>
        <v>2717368488</v>
      </c>
      <c r="AD85" s="242">
        <f t="shared" si="17"/>
        <v>2848703558.1999998</v>
      </c>
      <c r="AE85" s="215">
        <f t="shared" si="17"/>
        <v>2139613710.8</v>
      </c>
      <c r="AF85" s="285">
        <f t="shared" si="17"/>
        <v>2548491329.2410002</v>
      </c>
      <c r="AG85" s="282">
        <f t="shared" si="17"/>
        <v>30525985177.441002</v>
      </c>
      <c r="AH85" s="132">
        <f t="shared" si="17"/>
        <v>212188950.54711723</v>
      </c>
      <c r="AR85" s="473"/>
      <c r="AS85" s="473"/>
      <c r="AW85" s="207"/>
    </row>
    <row r="86" spans="1:50">
      <c r="F86" s="65"/>
      <c r="G86" s="503"/>
    </row>
    <row r="87" spans="1:50" ht="15" thickBot="1">
      <c r="D87" s="1"/>
      <c r="E87" s="1"/>
      <c r="F87" s="1"/>
      <c r="G87" s="207"/>
      <c r="AW87" s="473"/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6687604955</v>
      </c>
      <c r="E89" s="299"/>
    </row>
    <row r="90" spans="1:50">
      <c r="A90" s="276" t="s">
        <v>120</v>
      </c>
      <c r="B90" s="706" t="s">
        <v>124</v>
      </c>
      <c r="C90" s="707"/>
      <c r="D90" s="277">
        <f>+X85+Y85+Z85</f>
        <v>8644334494.6000004</v>
      </c>
    </row>
    <row r="91" spans="1:50">
      <c r="A91" s="276" t="s">
        <v>121</v>
      </c>
      <c r="B91" s="706" t="s">
        <v>125</v>
      </c>
      <c r="C91" s="707"/>
      <c r="D91" s="277">
        <f>+AA85+AB85+AC85</f>
        <v>7657237129.6000004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7536808598.2410002</v>
      </c>
    </row>
    <row r="93" spans="1:50" ht="15.75" customHeight="1" thickBot="1">
      <c r="A93" s="756" t="s">
        <v>117</v>
      </c>
      <c r="B93" s="757"/>
      <c r="C93" s="757"/>
      <c r="D93" s="280">
        <f>SUM(D89:D92)</f>
        <v>30525985177.441002</v>
      </c>
    </row>
    <row r="97" spans="2:5" ht="15">
      <c r="B97" s="509" t="s">
        <v>234</v>
      </c>
      <c r="E97" s="1"/>
    </row>
    <row r="98" spans="2:5">
      <c r="B98" s="700" t="s">
        <v>251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1" spans="2:5">
      <c r="B101" s="510"/>
      <c r="C101" s="510"/>
      <c r="D101" s="510"/>
      <c r="E101" s="510"/>
    </row>
    <row r="102" spans="2:5" ht="15">
      <c r="C102" s="508" t="s">
        <v>236</v>
      </c>
      <c r="D102" s="511">
        <v>38519409</v>
      </c>
    </row>
    <row r="103" spans="2:5">
      <c r="D103" s="6">
        <f>SUM(D102:D102)</f>
        <v>38519409</v>
      </c>
      <c r="E103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2:AX107"/>
  <sheetViews>
    <sheetView topLeftCell="A32" zoomScale="70" zoomScaleNormal="70" workbookViewId="0">
      <selection activeCell="AF48" sqref="AF48"/>
    </sheetView>
  </sheetViews>
  <sheetFormatPr baseColWidth="10" defaultRowHeight="14.25"/>
  <cols>
    <col min="1" max="1" width="4.85546875" style="1" customWidth="1"/>
    <col min="2" max="2" width="64.140625" style="1" customWidth="1"/>
    <col min="3" max="3" width="25.140625" style="1" customWidth="1"/>
    <col min="4" max="4" width="21.7109375" style="6" customWidth="1"/>
    <col min="5" max="5" width="15.28515625" style="4" customWidth="1"/>
    <col min="6" max="6" width="16.42578125" style="4" customWidth="1"/>
    <col min="7" max="7" width="25.85546875" style="4" customWidth="1"/>
    <col min="8" max="8" width="17" style="207" customWidth="1"/>
    <col min="9" max="9" width="15.5703125" style="207" hidden="1" customWidth="1"/>
    <col min="10" max="10" width="18.28515625" style="207" hidden="1" customWidth="1"/>
    <col min="11" max="11" width="15.5703125" style="207" hidden="1" customWidth="1"/>
    <col min="12" max="12" width="16.85546875" style="207" hidden="1" customWidth="1"/>
    <col min="13" max="13" width="15.7109375" style="207" hidden="1" customWidth="1"/>
    <col min="14" max="15" width="16.28515625" style="207" hidden="1" customWidth="1"/>
    <col min="16" max="16" width="17.28515625" style="207" hidden="1" customWidth="1"/>
    <col min="17" max="17" width="13.7109375" style="207" hidden="1" customWidth="1"/>
    <col min="18" max="18" width="16" style="207" hidden="1" customWidth="1"/>
    <col min="19" max="19" width="19.140625" style="207" customWidth="1"/>
    <col min="20" max="20" width="18.28515625" style="207" customWidth="1"/>
    <col min="21" max="21" width="15.85546875" style="207" hidden="1" customWidth="1"/>
    <col min="22" max="22" width="16.140625" style="207" hidden="1" customWidth="1"/>
    <col min="23" max="23" width="17.7109375" style="207" hidden="1" customWidth="1"/>
    <col min="24" max="25" width="17.28515625" style="207" hidden="1" customWidth="1"/>
    <col min="26" max="28" width="16.28515625" style="207" hidden="1" customWidth="1"/>
    <col min="29" max="29" width="20.85546875" style="207" hidden="1" customWidth="1"/>
    <col min="30" max="30" width="17.28515625" style="207" hidden="1" customWidth="1"/>
    <col min="31" max="31" width="19.140625" style="207" customWidth="1"/>
    <col min="32" max="32" width="18.28515625" style="207" customWidth="1"/>
    <col min="33" max="33" width="17" style="207" customWidth="1"/>
    <col min="34" max="34" width="15.140625" style="1" customWidth="1"/>
    <col min="35" max="36" width="11.42578125" style="1" customWidth="1"/>
    <col min="37" max="37" width="13.85546875" style="1" hidden="1" customWidth="1"/>
    <col min="38" max="38" width="16.5703125" style="1" hidden="1" customWidth="1"/>
    <col min="39" max="39" width="13.85546875" style="1" hidden="1" customWidth="1"/>
    <col min="40" max="41" width="13.5703125" style="1" hidden="1" customWidth="1"/>
    <col min="42" max="42" width="12" style="1" hidden="1" customWidth="1"/>
    <col min="43" max="43" width="12.85546875" style="1" hidden="1" customWidth="1"/>
    <col min="44" max="44" width="13.140625" style="1" hidden="1" customWidth="1"/>
    <col min="45" max="45" width="11.42578125" style="1" hidden="1" customWidth="1"/>
    <col min="46" max="46" width="14.28515625" style="1" hidden="1" customWidth="1"/>
    <col min="47" max="47" width="16.71093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  <c r="AE5" s="243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  <c r="AE6" s="243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66</v>
      </c>
    </row>
    <row r="11" spans="1:34">
      <c r="B11" s="3" t="s">
        <v>67</v>
      </c>
    </row>
    <row r="12" spans="1:34">
      <c r="B12" s="3" t="s">
        <v>70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98" t="s">
        <v>25</v>
      </c>
      <c r="F14" s="745"/>
      <c r="G14" s="746"/>
      <c r="H14" s="774" t="s">
        <v>38</v>
      </c>
      <c r="I14" s="775"/>
      <c r="J14" s="775"/>
      <c r="K14" s="775"/>
      <c r="L14" s="775"/>
      <c r="M14" s="775"/>
      <c r="N14" s="775"/>
      <c r="O14" s="775"/>
      <c r="P14" s="775"/>
      <c r="Q14" s="775"/>
      <c r="R14" s="775"/>
      <c r="S14" s="775"/>
      <c r="T14" s="797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69401395*12</f>
        <v>832816740</v>
      </c>
      <c r="E16" s="22"/>
      <c r="F16" s="23"/>
      <c r="G16" s="24"/>
      <c r="H16" s="322">
        <f>SUM(I16:T16)</f>
        <v>832816740</v>
      </c>
      <c r="I16" s="250">
        <v>69401395</v>
      </c>
      <c r="J16" s="217">
        <v>69401395</v>
      </c>
      <c r="K16" s="217">
        <v>69401395</v>
      </c>
      <c r="L16" s="217">
        <v>69401395</v>
      </c>
      <c r="M16" s="212">
        <v>69401395</v>
      </c>
      <c r="N16" s="217">
        <v>69401395</v>
      </c>
      <c r="O16" s="212">
        <v>69401395</v>
      </c>
      <c r="P16" s="212">
        <v>69401395</v>
      </c>
      <c r="Q16" s="212">
        <v>69401395</v>
      </c>
      <c r="R16" s="212">
        <v>69401395</v>
      </c>
      <c r="S16" s="212">
        <v>69401395</v>
      </c>
      <c r="T16" s="248">
        <v>69401395</v>
      </c>
      <c r="U16" s="234">
        <v>69401395</v>
      </c>
      <c r="V16" s="217">
        <v>69401395</v>
      </c>
      <c r="W16" s="217">
        <v>69401395</v>
      </c>
      <c r="X16" s="217">
        <v>69401395</v>
      </c>
      <c r="Y16" s="209">
        <v>69401395</v>
      </c>
      <c r="Z16" s="217">
        <v>69401395</v>
      </c>
      <c r="AA16" s="209">
        <v>69401395</v>
      </c>
      <c r="AB16" s="209">
        <v>69401395</v>
      </c>
      <c r="AC16" s="209">
        <v>69401395</v>
      </c>
      <c r="AD16" s="209">
        <v>69401395</v>
      </c>
      <c r="AE16" s="209">
        <v>69401395</v>
      </c>
      <c r="AF16" s="225">
        <v>69401395</v>
      </c>
      <c r="AG16" s="226">
        <f>SUM(U16:AF16)</f>
        <v>832816740</v>
      </c>
      <c r="AH16" s="123">
        <f>+H16-AG16</f>
        <v>0</v>
      </c>
    </row>
    <row r="17" spans="1:50" ht="15">
      <c r="A17" s="11">
        <v>2</v>
      </c>
      <c r="B17" s="7" t="s">
        <v>27</v>
      </c>
      <c r="C17" s="147" t="s">
        <v>29</v>
      </c>
      <c r="D17" s="13">
        <f>6118360*12</f>
        <v>73420320</v>
      </c>
      <c r="E17" s="15"/>
      <c r="F17" s="14"/>
      <c r="G17" s="16"/>
      <c r="H17" s="322">
        <f t="shared" ref="H17:H29" si="0">SUM(I17:T17)</f>
        <v>73420320</v>
      </c>
      <c r="I17" s="252">
        <v>6118360</v>
      </c>
      <c r="J17" s="217">
        <v>6118360</v>
      </c>
      <c r="K17" s="217">
        <v>6118360</v>
      </c>
      <c r="L17" s="217">
        <v>6118360</v>
      </c>
      <c r="M17" s="206">
        <v>6118360</v>
      </c>
      <c r="N17" s="217">
        <v>6118360</v>
      </c>
      <c r="O17" s="206">
        <v>6118360</v>
      </c>
      <c r="P17" s="206">
        <v>6118360</v>
      </c>
      <c r="Q17" s="206">
        <v>6118360</v>
      </c>
      <c r="R17" s="206">
        <v>6118360</v>
      </c>
      <c r="S17" s="206">
        <v>6118360</v>
      </c>
      <c r="T17" s="227">
        <v>6118360</v>
      </c>
      <c r="U17" s="235">
        <v>6118360</v>
      </c>
      <c r="V17" s="217">
        <v>6118360</v>
      </c>
      <c r="W17" s="217">
        <v>6118360</v>
      </c>
      <c r="X17" s="217">
        <v>6118360</v>
      </c>
      <c r="Y17" s="206">
        <v>6118360</v>
      </c>
      <c r="Z17" s="217">
        <v>6118360</v>
      </c>
      <c r="AA17" s="206">
        <v>6118360</v>
      </c>
      <c r="AB17" s="206">
        <v>6118360</v>
      </c>
      <c r="AC17" s="206">
        <v>6118360</v>
      </c>
      <c r="AD17" s="206">
        <v>6118360</v>
      </c>
      <c r="AE17" s="206">
        <v>6118360</v>
      </c>
      <c r="AF17" s="227">
        <v>6118360</v>
      </c>
      <c r="AG17" s="228">
        <f t="shared" ref="AG17:AG24" si="1">SUM(U17:AF17)</f>
        <v>73420320</v>
      </c>
      <c r="AH17" s="124">
        <f t="shared" ref="AH17:AH30" si="2">+H17-AG17</f>
        <v>0</v>
      </c>
    </row>
    <row r="18" spans="1:50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2">
        <f t="shared" si="0"/>
        <v>0</v>
      </c>
      <c r="I18" s="252">
        <v>0</v>
      </c>
      <c r="J18" s="217">
        <v>0</v>
      </c>
      <c r="K18" s="217">
        <v>0</v>
      </c>
      <c r="L18" s="217">
        <v>0</v>
      </c>
      <c r="M18" s="206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>
        <v>0</v>
      </c>
      <c r="U18" s="235">
        <v>0</v>
      </c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>
        <v>0</v>
      </c>
      <c r="AG18" s="228">
        <f t="shared" si="1"/>
        <v>0</v>
      </c>
      <c r="AH18" s="124">
        <f t="shared" si="2"/>
        <v>0</v>
      </c>
    </row>
    <row r="19" spans="1:50" ht="15">
      <c r="A19" s="11">
        <v>4</v>
      </c>
      <c r="B19" s="7" t="s">
        <v>30</v>
      </c>
      <c r="C19" s="147" t="s">
        <v>29</v>
      </c>
      <c r="D19" s="13">
        <f>+H19</f>
        <v>-1360597</v>
      </c>
      <c r="E19" s="15"/>
      <c r="F19" s="14"/>
      <c r="G19" s="16"/>
      <c r="H19" s="322">
        <f t="shared" si="0"/>
        <v>-1360597</v>
      </c>
      <c r="I19" s="252"/>
      <c r="J19" s="217">
        <v>-226767</v>
      </c>
      <c r="K19" s="217">
        <v>-113383</v>
      </c>
      <c r="L19" s="217">
        <v>-113383</v>
      </c>
      <c r="M19" s="206">
        <v>-113383</v>
      </c>
      <c r="N19" s="217">
        <v>-113383</v>
      </c>
      <c r="O19" s="206">
        <v>-113383</v>
      </c>
      <c r="P19" s="206">
        <v>-113383</v>
      </c>
      <c r="Q19" s="206">
        <v>-113383</v>
      </c>
      <c r="R19" s="206">
        <v>-113383</v>
      </c>
      <c r="S19" s="206">
        <v>-113383</v>
      </c>
      <c r="T19" s="227">
        <v>-113383</v>
      </c>
      <c r="U19" s="235"/>
      <c r="V19" s="217">
        <v>-226767</v>
      </c>
      <c r="W19" s="217">
        <v>-113383</v>
      </c>
      <c r="X19" s="217">
        <v>-113383</v>
      </c>
      <c r="Y19" s="206">
        <v>-113383</v>
      </c>
      <c r="Z19" s="217">
        <v>-113383</v>
      </c>
      <c r="AA19" s="206">
        <v>-113383</v>
      </c>
      <c r="AB19" s="206">
        <v>-113383</v>
      </c>
      <c r="AC19" s="206">
        <v>-113383</v>
      </c>
      <c r="AD19" s="206">
        <v>-113383</v>
      </c>
      <c r="AE19" s="206">
        <v>-113383</v>
      </c>
      <c r="AF19" s="227">
        <v>-113383</v>
      </c>
      <c r="AG19" s="228">
        <f t="shared" si="1"/>
        <v>-1360597</v>
      </c>
      <c r="AH19" s="124">
        <f t="shared" si="2"/>
        <v>0</v>
      </c>
    </row>
    <row r="20" spans="1:50" ht="29.25" hidden="1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2">
        <f t="shared" si="0"/>
        <v>0</v>
      </c>
      <c r="I20" s="252"/>
      <c r="J20" s="217">
        <v>0</v>
      </c>
      <c r="K20" s="217">
        <v>0</v>
      </c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2"/>
        <v>0</v>
      </c>
    </row>
    <row r="21" spans="1:50" ht="15">
      <c r="A21" s="11">
        <v>6</v>
      </c>
      <c r="B21" s="7" t="s">
        <v>32</v>
      </c>
      <c r="C21" s="147" t="s">
        <v>29</v>
      </c>
      <c r="D21" s="13">
        <f>923258*12</f>
        <v>11079096</v>
      </c>
      <c r="E21" s="15"/>
      <c r="F21" s="14"/>
      <c r="G21" s="16"/>
      <c r="H21" s="322">
        <f t="shared" si="0"/>
        <v>11417235.890000001</v>
      </c>
      <c r="I21" s="252">
        <v>923258</v>
      </c>
      <c r="J21" s="217">
        <v>1036001</v>
      </c>
      <c r="K21" s="217">
        <v>789684.89000000013</v>
      </c>
      <c r="L21" s="65">
        <v>935581</v>
      </c>
      <c r="M21" s="206">
        <v>935581</v>
      </c>
      <c r="N21" s="217">
        <v>935581</v>
      </c>
      <c r="O21" s="206">
        <v>935581</v>
      </c>
      <c r="P21" s="206">
        <v>935581</v>
      </c>
      <c r="Q21" s="206">
        <v>935581</v>
      </c>
      <c r="R21" s="206">
        <v>935581</v>
      </c>
      <c r="S21" s="206">
        <v>935581</v>
      </c>
      <c r="T21" s="227">
        <v>1183644</v>
      </c>
      <c r="U21" s="235">
        <v>923258</v>
      </c>
      <c r="V21" s="217">
        <v>1036001</v>
      </c>
      <c r="W21" s="65">
        <v>789684</v>
      </c>
      <c r="X21" s="65">
        <v>935581</v>
      </c>
      <c r="Y21" s="206">
        <v>935581</v>
      </c>
      <c r="Z21" s="65">
        <v>935581</v>
      </c>
      <c r="AA21" s="206">
        <v>935581</v>
      </c>
      <c r="AB21" s="206">
        <v>935581</v>
      </c>
      <c r="AC21" s="206">
        <v>935581</v>
      </c>
      <c r="AD21" s="206">
        <v>935581</v>
      </c>
      <c r="AE21" s="206">
        <v>935581</v>
      </c>
      <c r="AF21" s="227">
        <v>1183644</v>
      </c>
      <c r="AG21" s="228">
        <f t="shared" si="1"/>
        <v>11417235</v>
      </c>
      <c r="AH21" s="124">
        <f t="shared" si="2"/>
        <v>0.89000000059604645</v>
      </c>
    </row>
    <row r="22" spans="1:50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22">
        <f t="shared" si="0"/>
        <v>67614751</v>
      </c>
      <c r="I22" s="252"/>
      <c r="J22" s="217"/>
      <c r="K22" s="217"/>
      <c r="L22" s="65">
        <v>17061745</v>
      </c>
      <c r="M22" s="206"/>
      <c r="N22" s="217">
        <v>16851002</v>
      </c>
      <c r="O22" s="206"/>
      <c r="P22" s="206"/>
      <c r="Q22" s="206">
        <v>16851002</v>
      </c>
      <c r="R22" s="206"/>
      <c r="S22" s="206"/>
      <c r="T22" s="227">
        <v>16851002</v>
      </c>
      <c r="U22" s="235"/>
      <c r="V22" s="217"/>
      <c r="W22" s="65"/>
      <c r="X22" s="65">
        <v>17061745</v>
      </c>
      <c r="Y22" s="206"/>
      <c r="Z22" s="65">
        <v>16851002</v>
      </c>
      <c r="AA22" s="206"/>
      <c r="AB22" s="206"/>
      <c r="AC22" s="206">
        <v>16851002</v>
      </c>
      <c r="AD22" s="206"/>
      <c r="AE22" s="206"/>
      <c r="AF22" s="227">
        <v>16851002</v>
      </c>
      <c r="AG22" s="228">
        <f>SUM(U22:AF22)</f>
        <v>67614751</v>
      </c>
      <c r="AH22" s="124">
        <f>+H22-AG22</f>
        <v>0</v>
      </c>
    </row>
    <row r="23" spans="1:50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22">
        <f t="shared" si="0"/>
        <v>78117996</v>
      </c>
      <c r="I23" s="252"/>
      <c r="J23" s="217"/>
      <c r="K23" s="217"/>
      <c r="L23" s="65">
        <v>19712109</v>
      </c>
      <c r="M23" s="206"/>
      <c r="N23" s="217">
        <v>19468629</v>
      </c>
      <c r="O23" s="206"/>
      <c r="P23" s="206"/>
      <c r="Q23" s="206">
        <v>19468629</v>
      </c>
      <c r="R23" s="206"/>
      <c r="S23" s="206"/>
      <c r="T23" s="227">
        <v>19468629</v>
      </c>
      <c r="U23" s="235"/>
      <c r="V23" s="217"/>
      <c r="W23" s="65"/>
      <c r="X23" s="65">
        <v>19712109</v>
      </c>
      <c r="Y23" s="206"/>
      <c r="Z23" s="65">
        <v>19468629</v>
      </c>
      <c r="AA23" s="206"/>
      <c r="AB23" s="206"/>
      <c r="AC23" s="206">
        <v>19468629</v>
      </c>
      <c r="AD23" s="206"/>
      <c r="AE23" s="206"/>
      <c r="AF23" s="227">
        <v>19468629</v>
      </c>
      <c r="AG23" s="228">
        <f>SUM(U23:AF23)</f>
        <v>78117996</v>
      </c>
      <c r="AH23" s="124">
        <f>+H23-AG23</f>
        <v>0</v>
      </c>
    </row>
    <row r="24" spans="1:50" ht="15">
      <c r="A24" s="11">
        <v>7</v>
      </c>
      <c r="B24" s="7" t="s">
        <v>33</v>
      </c>
      <c r="C24" s="147" t="s">
        <v>29</v>
      </c>
      <c r="D24" s="13">
        <f>567732*12</f>
        <v>6812784</v>
      </c>
      <c r="E24" s="15"/>
      <c r="F24" s="14"/>
      <c r="G24" s="16"/>
      <c r="H24" s="322">
        <f t="shared" si="0"/>
        <v>6812784</v>
      </c>
      <c r="I24" s="252">
        <v>567732</v>
      </c>
      <c r="J24" s="217">
        <v>567732</v>
      </c>
      <c r="K24" s="217">
        <v>567732</v>
      </c>
      <c r="L24" s="65">
        <v>567732</v>
      </c>
      <c r="M24" s="206">
        <v>567732</v>
      </c>
      <c r="N24" s="217">
        <v>567732</v>
      </c>
      <c r="O24" s="206">
        <v>567732</v>
      </c>
      <c r="P24" s="206">
        <v>567732</v>
      </c>
      <c r="Q24" s="206">
        <v>567732</v>
      </c>
      <c r="R24" s="206">
        <v>567732</v>
      </c>
      <c r="S24" s="206">
        <v>567732</v>
      </c>
      <c r="T24" s="227">
        <v>567732</v>
      </c>
      <c r="U24" s="235">
        <v>567732</v>
      </c>
      <c r="V24" s="217">
        <v>567732</v>
      </c>
      <c r="W24" s="65">
        <v>567732</v>
      </c>
      <c r="X24" s="65">
        <v>567732</v>
      </c>
      <c r="Y24" s="206">
        <v>567732</v>
      </c>
      <c r="Z24" s="65">
        <v>567732</v>
      </c>
      <c r="AA24" s="206">
        <v>567732</v>
      </c>
      <c r="AB24" s="206">
        <v>567732</v>
      </c>
      <c r="AC24" s="206">
        <v>567732</v>
      </c>
      <c r="AD24" s="206">
        <v>567732</v>
      </c>
      <c r="AE24" s="206">
        <v>567732</v>
      </c>
      <c r="AF24" s="227">
        <v>567732</v>
      </c>
      <c r="AG24" s="228">
        <f t="shared" si="1"/>
        <v>6812784</v>
      </c>
      <c r="AH24" s="124">
        <f t="shared" si="2"/>
        <v>0</v>
      </c>
    </row>
    <row r="25" spans="1:50" ht="15" hidden="1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22">
        <f t="shared" si="0"/>
        <v>0</v>
      </c>
      <c r="I25" s="252"/>
      <c r="J25" s="217">
        <v>0</v>
      </c>
      <c r="K25" s="217">
        <v>0</v>
      </c>
      <c r="L25" s="206"/>
      <c r="M25" s="206"/>
      <c r="N25" s="206"/>
      <c r="O25" s="206"/>
      <c r="P25" s="206"/>
      <c r="Q25" s="206"/>
      <c r="R25" s="206"/>
      <c r="S25" s="206"/>
      <c r="T25" s="227"/>
      <c r="U25" s="2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ref="AG25:AG30" si="3">SUM(U25:AF25)</f>
        <v>0</v>
      </c>
      <c r="AH25" s="124">
        <f>+H25-AG25</f>
        <v>0</v>
      </c>
    </row>
    <row r="26" spans="1:50" ht="15" hidden="1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2">
        <f t="shared" si="0"/>
        <v>0</v>
      </c>
      <c r="I26" s="252"/>
      <c r="J26" s="217"/>
      <c r="K26" s="217"/>
      <c r="L26" s="206"/>
      <c r="M26" s="206"/>
      <c r="N26" s="206"/>
      <c r="O26" s="206"/>
      <c r="P26" s="206"/>
      <c r="Q26" s="206"/>
      <c r="R26" s="206"/>
      <c r="S26" s="206"/>
      <c r="T26" s="227"/>
      <c r="U26" s="2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3"/>
        <v>0</v>
      </c>
      <c r="AH26" s="124">
        <f>+H26-AG26</f>
        <v>0</v>
      </c>
    </row>
    <row r="27" spans="1:50" ht="15" hidden="1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2">
        <f t="shared" si="0"/>
        <v>0</v>
      </c>
      <c r="I27" s="252"/>
      <c r="J27" s="217"/>
      <c r="K27" s="217"/>
      <c r="L27" s="206"/>
      <c r="M27" s="206"/>
      <c r="N27" s="206"/>
      <c r="O27" s="206"/>
      <c r="P27" s="206"/>
      <c r="Q27" s="206"/>
      <c r="R27" s="206"/>
      <c r="S27" s="206"/>
      <c r="T27" s="227"/>
      <c r="U27" s="235"/>
      <c r="V27" s="217"/>
      <c r="W27" s="206"/>
      <c r="X27" s="206"/>
      <c r="Y27" s="206"/>
      <c r="Z27" s="206"/>
      <c r="AA27" s="206"/>
      <c r="AB27" s="206"/>
      <c r="AC27" s="206"/>
      <c r="AD27" s="206"/>
      <c r="AE27" s="206"/>
      <c r="AF27" s="227"/>
      <c r="AG27" s="228">
        <f t="shared" si="3"/>
        <v>0</v>
      </c>
      <c r="AH27" s="124">
        <f>+H27-AG27</f>
        <v>0</v>
      </c>
    </row>
    <row r="28" spans="1:50" ht="15.75" hidden="1" thickBot="1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2">
        <f t="shared" si="0"/>
        <v>0</v>
      </c>
      <c r="I28" s="252"/>
      <c r="J28" s="217"/>
      <c r="K28" s="217"/>
      <c r="L28" s="206"/>
      <c r="M28" s="206"/>
      <c r="N28" s="206"/>
      <c r="O28" s="206"/>
      <c r="P28" s="206"/>
      <c r="Q28" s="206"/>
      <c r="R28" s="206"/>
      <c r="S28" s="206"/>
      <c r="T28" s="227"/>
      <c r="U28" s="235"/>
      <c r="V28" s="217"/>
      <c r="W28" s="206"/>
      <c r="X28" s="206"/>
      <c r="Y28" s="206"/>
      <c r="Z28" s="206"/>
      <c r="AA28" s="206"/>
      <c r="AB28" s="206"/>
      <c r="AC28" s="206"/>
      <c r="AD28" s="206"/>
      <c r="AE28" s="206"/>
      <c r="AF28" s="227"/>
      <c r="AG28" s="228">
        <f t="shared" si="3"/>
        <v>0</v>
      </c>
      <c r="AH28" s="124">
        <f>+H28-AG28</f>
        <v>0</v>
      </c>
    </row>
    <row r="29" spans="1:50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22">
        <f t="shared" si="0"/>
        <v>19821786.28194458</v>
      </c>
      <c r="I29" s="252"/>
      <c r="J29" s="217"/>
      <c r="K29" s="217"/>
      <c r="L29" s="206"/>
      <c r="M29" s="206"/>
      <c r="N29" s="206"/>
      <c r="O29" s="206"/>
      <c r="P29" s="206"/>
      <c r="Q29" s="206"/>
      <c r="R29" s="206"/>
      <c r="S29" s="206">
        <v>19821786.28194458</v>
      </c>
      <c r="T29" s="227"/>
      <c r="U29" s="235"/>
      <c r="V29" s="217"/>
      <c r="W29" s="206"/>
      <c r="X29" s="206"/>
      <c r="Y29" s="206"/>
      <c r="Z29" s="206"/>
      <c r="AA29" s="206"/>
      <c r="AB29" s="206"/>
      <c r="AC29" s="206"/>
      <c r="AD29" s="206"/>
      <c r="AE29" s="206">
        <v>19821786.28194458</v>
      </c>
      <c r="AF29" s="227"/>
      <c r="AG29" s="228">
        <f t="shared" si="3"/>
        <v>19821786.28194458</v>
      </c>
      <c r="AH29" s="124">
        <f>+H29-AG29</f>
        <v>0</v>
      </c>
    </row>
    <row r="30" spans="1:50" ht="15.75" thickBot="1">
      <c r="A30" s="794" t="s">
        <v>36</v>
      </c>
      <c r="B30" s="795"/>
      <c r="C30" s="94"/>
      <c r="D30" s="95">
        <f>SUM(D16:D26)</f>
        <v>922768343</v>
      </c>
      <c r="E30" s="96"/>
      <c r="F30" s="97"/>
      <c r="G30" s="98"/>
      <c r="H30" s="323">
        <f>SUM(H16:H28)</f>
        <v>1068839229.89</v>
      </c>
      <c r="I30" s="313">
        <f>SUM(I16:I28)</f>
        <v>77010745</v>
      </c>
      <c r="J30" s="313">
        <f t="shared" ref="J30:O30" si="4">SUM(J16:J28)</f>
        <v>76896721</v>
      </c>
      <c r="K30" s="313">
        <f t="shared" si="4"/>
        <v>76763788.890000001</v>
      </c>
      <c r="L30" s="313">
        <f t="shared" si="4"/>
        <v>113683539</v>
      </c>
      <c r="M30" s="313">
        <f t="shared" si="4"/>
        <v>76909685</v>
      </c>
      <c r="N30" s="313">
        <f t="shared" si="4"/>
        <v>113229316</v>
      </c>
      <c r="O30" s="313">
        <f t="shared" si="4"/>
        <v>76909685</v>
      </c>
      <c r="P30" s="313">
        <f t="shared" ref="P30:AF30" si="5">SUM(P16:P28)</f>
        <v>76909685</v>
      </c>
      <c r="Q30" s="313">
        <f t="shared" si="5"/>
        <v>113229316</v>
      </c>
      <c r="R30" s="313">
        <f t="shared" si="5"/>
        <v>76909685</v>
      </c>
      <c r="S30" s="313">
        <f t="shared" si="5"/>
        <v>76909685</v>
      </c>
      <c r="T30" s="313">
        <f t="shared" si="5"/>
        <v>113477379</v>
      </c>
      <c r="U30" s="245">
        <f t="shared" si="5"/>
        <v>77010745</v>
      </c>
      <c r="V30" s="245">
        <f t="shared" si="5"/>
        <v>76896721</v>
      </c>
      <c r="W30" s="245">
        <f t="shared" si="5"/>
        <v>76763788</v>
      </c>
      <c r="X30" s="245">
        <f t="shared" si="5"/>
        <v>113683539</v>
      </c>
      <c r="Y30" s="245">
        <f t="shared" si="5"/>
        <v>76909685</v>
      </c>
      <c r="Z30" s="245">
        <f t="shared" si="5"/>
        <v>113229316</v>
      </c>
      <c r="AA30" s="245">
        <f t="shared" si="5"/>
        <v>76909685</v>
      </c>
      <c r="AB30" s="245">
        <f t="shared" si="5"/>
        <v>76909685</v>
      </c>
      <c r="AC30" s="245">
        <f t="shared" si="5"/>
        <v>113229316</v>
      </c>
      <c r="AD30" s="245">
        <f t="shared" si="5"/>
        <v>76909685</v>
      </c>
      <c r="AE30" s="245">
        <f t="shared" si="5"/>
        <v>76909685</v>
      </c>
      <c r="AF30" s="245">
        <f t="shared" si="5"/>
        <v>113477379</v>
      </c>
      <c r="AG30" s="337">
        <f t="shared" si="3"/>
        <v>1068839229</v>
      </c>
      <c r="AH30" s="120">
        <f t="shared" si="2"/>
        <v>0.88999998569488525</v>
      </c>
    </row>
    <row r="31" spans="1:50" ht="15" thickBot="1">
      <c r="D31" s="265">
        <v>4546677</v>
      </c>
      <c r="E31" s="5">
        <v>0.7</v>
      </c>
      <c r="F31" s="5">
        <v>0.3</v>
      </c>
      <c r="G31" s="5">
        <v>8.3333333333333329E-2</v>
      </c>
    </row>
    <row r="32" spans="1:50" ht="44.25" customHeight="1" thickBot="1">
      <c r="A32" s="80"/>
      <c r="B32" s="731" t="s">
        <v>72</v>
      </c>
      <c r="C32" s="731"/>
      <c r="D32" s="732"/>
      <c r="E32" s="796" t="s">
        <v>25</v>
      </c>
      <c r="F32" s="731"/>
      <c r="G32" s="732"/>
      <c r="H32" s="774" t="s">
        <v>38</v>
      </c>
      <c r="I32" s="775"/>
      <c r="J32" s="775"/>
      <c r="K32" s="775"/>
      <c r="L32" s="775"/>
      <c r="M32" s="775"/>
      <c r="N32" s="775"/>
      <c r="O32" s="775"/>
      <c r="P32" s="775"/>
      <c r="Q32" s="775"/>
      <c r="R32" s="775"/>
      <c r="S32" s="775"/>
      <c r="T32" s="797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2"/>
      <c r="AW32" s="752"/>
      <c r="AX32" s="753"/>
    </row>
    <row r="33" spans="1:50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7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0" ht="15.75" thickBot="1">
      <c r="A34" s="573">
        <v>1</v>
      </c>
      <c r="B34" s="608" t="s">
        <v>99</v>
      </c>
      <c r="C34" s="615">
        <v>1396</v>
      </c>
      <c r="D34" s="610">
        <v>125470</v>
      </c>
      <c r="E34" s="611">
        <f>+D34*E31</f>
        <v>87829</v>
      </c>
      <c r="F34" s="612">
        <f>+D34*F31</f>
        <v>37641</v>
      </c>
      <c r="G34" s="613"/>
      <c r="H34" s="334">
        <f>SUM(I34:T34)</f>
        <v>125470</v>
      </c>
      <c r="I34" s="331"/>
      <c r="J34" s="249"/>
      <c r="K34" s="250">
        <v>87829</v>
      </c>
      <c r="L34" s="212"/>
      <c r="M34" s="212"/>
      <c r="N34" s="212"/>
      <c r="O34" s="212"/>
      <c r="P34" s="212"/>
      <c r="Q34" s="212"/>
      <c r="R34" s="212">
        <v>37641</v>
      </c>
      <c r="S34" s="212"/>
      <c r="T34" s="248"/>
      <c r="U34" s="234"/>
      <c r="V34" s="220"/>
      <c r="W34" s="209">
        <v>87829</v>
      </c>
      <c r="X34" s="209"/>
      <c r="Y34" s="209"/>
      <c r="Z34" s="209"/>
      <c r="AA34" s="209"/>
      <c r="AB34" s="209"/>
      <c r="AC34" s="209"/>
      <c r="AD34" s="209">
        <v>37641</v>
      </c>
      <c r="AE34" s="209"/>
      <c r="AF34" s="209"/>
      <c r="AG34" s="218">
        <f>SUM(U34:AF34)</f>
        <v>125470</v>
      </c>
      <c r="AH34" s="123">
        <f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125470</v>
      </c>
    </row>
    <row r="35" spans="1:50" ht="15">
      <c r="A35" s="573">
        <v>2</v>
      </c>
      <c r="B35" s="608" t="s">
        <v>100</v>
      </c>
      <c r="C35" s="615">
        <v>1396</v>
      </c>
      <c r="D35" s="610">
        <v>6841296</v>
      </c>
      <c r="E35" s="583">
        <f>+D35*E31</f>
        <v>4788907.1999999993</v>
      </c>
      <c r="F35" s="584">
        <f>+D35*F31</f>
        <v>2052388.7999999998</v>
      </c>
      <c r="G35" s="614"/>
      <c r="H35" s="324">
        <f>SUM(I35:T35)</f>
        <v>6841295.9999999991</v>
      </c>
      <c r="I35" s="250"/>
      <c r="J35" s="251"/>
      <c r="K35" s="250">
        <v>4788907.1999999993</v>
      </c>
      <c r="L35" s="212"/>
      <c r="M35" s="212"/>
      <c r="N35" s="212"/>
      <c r="O35" s="212"/>
      <c r="P35" s="212"/>
      <c r="Q35" s="212"/>
      <c r="R35" s="212">
        <v>2052388.7999999998</v>
      </c>
      <c r="S35" s="212"/>
      <c r="T35" s="248"/>
      <c r="U35" s="237"/>
      <c r="V35" s="217"/>
      <c r="W35" s="212">
        <v>4788907.1999999993</v>
      </c>
      <c r="X35" s="212"/>
      <c r="Y35" s="212"/>
      <c r="Z35" s="212"/>
      <c r="AA35" s="212"/>
      <c r="AB35" s="212"/>
      <c r="AC35" s="212"/>
      <c r="AD35" s="212">
        <v>2052388.7999999998</v>
      </c>
      <c r="AE35" s="212"/>
      <c r="AF35" s="212"/>
      <c r="AG35" s="218">
        <f>SUM(U35:AF35)</f>
        <v>6841295.9999999991</v>
      </c>
      <c r="AH35" s="123">
        <f>+H35-AG35</f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1">
        <f t="shared" ref="AX35:AX77" si="6">+AG35-AW35</f>
        <v>6841295.9999999991</v>
      </c>
    </row>
    <row r="36" spans="1:50" ht="15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7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>+H36-AG36</f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1">
        <f t="shared" si="6"/>
        <v>0</v>
      </c>
    </row>
    <row r="37" spans="1:50" ht="15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8">SUM(U37:AF37)</f>
        <v>0</v>
      </c>
      <c r="AH37" s="124">
        <f t="shared" ref="AH37:AH67" si="9">+H37-AG37</f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10">SUM(AK37:AV37)</f>
        <v>0</v>
      </c>
      <c r="AX37" s="431">
        <f t="shared" si="6"/>
        <v>0</v>
      </c>
    </row>
    <row r="38" spans="1:50" ht="15">
      <c r="A38" s="573">
        <v>5</v>
      </c>
      <c r="B38" s="575" t="s">
        <v>101</v>
      </c>
      <c r="C38" s="576">
        <v>1303</v>
      </c>
      <c r="D38" s="577">
        <v>7701354</v>
      </c>
      <c r="E38" s="578">
        <f>+D38*E31</f>
        <v>5390947.7999999998</v>
      </c>
      <c r="F38" s="579">
        <f>+D38*F31</f>
        <v>2310406.1999999997</v>
      </c>
      <c r="G38" s="580"/>
      <c r="H38" s="324">
        <f t="shared" si="7"/>
        <v>7701354</v>
      </c>
      <c r="I38" s="252"/>
      <c r="J38" s="251"/>
      <c r="K38" s="252">
        <v>5390947.7999999998</v>
      </c>
      <c r="L38" s="206"/>
      <c r="M38" s="206"/>
      <c r="N38" s="206"/>
      <c r="O38" s="212"/>
      <c r="P38" s="212"/>
      <c r="Q38" s="212"/>
      <c r="R38" s="212">
        <v>2310406.1999999997</v>
      </c>
      <c r="S38" s="212"/>
      <c r="T38" s="248"/>
      <c r="U38" s="235"/>
      <c r="V38" s="217"/>
      <c r="W38" s="206">
        <v>5390947.7999999998</v>
      </c>
      <c r="X38" s="206"/>
      <c r="Y38" s="206"/>
      <c r="Z38" s="206"/>
      <c r="AA38" s="206"/>
      <c r="AB38" s="206"/>
      <c r="AC38" s="206"/>
      <c r="AD38" s="206">
        <v>2310406.1999999997</v>
      </c>
      <c r="AE38" s="206"/>
      <c r="AF38" s="206"/>
      <c r="AG38" s="219">
        <f t="shared" si="8"/>
        <v>7701354</v>
      </c>
      <c r="AH38" s="124">
        <f t="shared" si="9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 t="shared" si="10"/>
        <v>0</v>
      </c>
      <c r="AX38" s="431">
        <f t="shared" si="6"/>
        <v>7701354</v>
      </c>
    </row>
    <row r="39" spans="1:50" ht="15">
      <c r="A39" s="573">
        <v>6</v>
      </c>
      <c r="B39" s="575" t="s">
        <v>102</v>
      </c>
      <c r="C39" s="576">
        <v>1303</v>
      </c>
      <c r="D39" s="577">
        <v>2059200</v>
      </c>
      <c r="E39" s="578">
        <f>+D39*E31</f>
        <v>1441440</v>
      </c>
      <c r="F39" s="579">
        <f>+D39*F31</f>
        <v>617760</v>
      </c>
      <c r="G39" s="580"/>
      <c r="H39" s="324">
        <f t="shared" si="7"/>
        <v>2059200</v>
      </c>
      <c r="I39" s="252"/>
      <c r="J39" s="251"/>
      <c r="K39" s="252">
        <v>1441440</v>
      </c>
      <c r="L39" s="206"/>
      <c r="M39" s="206"/>
      <c r="N39" s="206"/>
      <c r="O39" s="212"/>
      <c r="P39" s="212"/>
      <c r="Q39" s="212"/>
      <c r="R39" s="212">
        <v>617760</v>
      </c>
      <c r="S39" s="212"/>
      <c r="T39" s="248"/>
      <c r="U39" s="235"/>
      <c r="V39" s="217"/>
      <c r="W39" s="206">
        <v>1441440</v>
      </c>
      <c r="X39" s="206"/>
      <c r="Y39" s="206"/>
      <c r="Z39" s="206"/>
      <c r="AA39" s="206"/>
      <c r="AB39" s="206"/>
      <c r="AC39" s="206"/>
      <c r="AD39" s="206">
        <v>617760</v>
      </c>
      <c r="AE39" s="206"/>
      <c r="AF39" s="206"/>
      <c r="AG39" s="219">
        <f t="shared" si="8"/>
        <v>2059200</v>
      </c>
      <c r="AH39" s="124">
        <f t="shared" si="9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si="10"/>
        <v>0</v>
      </c>
      <c r="AX39" s="431">
        <f t="shared" si="6"/>
        <v>2059200</v>
      </c>
    </row>
    <row r="40" spans="1:50" ht="15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9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10"/>
        <v>0</v>
      </c>
      <c r="AX40" s="431">
        <f t="shared" si="6"/>
        <v>0</v>
      </c>
    </row>
    <row r="41" spans="1:50" ht="15">
      <c r="A41" s="18">
        <v>8</v>
      </c>
      <c r="B41" s="7" t="s">
        <v>76</v>
      </c>
      <c r="C41" s="147"/>
      <c r="D41" s="13"/>
      <c r="E41" s="142"/>
      <c r="F41" s="143"/>
      <c r="G41" s="160"/>
      <c r="H41" s="324">
        <f t="shared" si="7"/>
        <v>0</v>
      </c>
      <c r="I41" s="252"/>
      <c r="J41" s="251"/>
      <c r="K41" s="252"/>
      <c r="L41" s="206"/>
      <c r="M41" s="206"/>
      <c r="N41" s="206"/>
      <c r="O41" s="212"/>
      <c r="P41" s="212"/>
      <c r="Q41" s="212"/>
      <c r="R41" s="212"/>
      <c r="S41" s="212"/>
      <c r="T41" s="248"/>
      <c r="U41" s="235"/>
      <c r="V41" s="217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19">
        <f t="shared" si="8"/>
        <v>0</v>
      </c>
      <c r="AH41" s="124">
        <f t="shared" si="9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10"/>
        <v>0</v>
      </c>
      <c r="AX41" s="431">
        <f t="shared" si="6"/>
        <v>0</v>
      </c>
    </row>
    <row r="42" spans="1:50" ht="15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9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10"/>
        <v>0</v>
      </c>
      <c r="AX42" s="431">
        <f t="shared" si="6"/>
        <v>0</v>
      </c>
    </row>
    <row r="43" spans="1:50" ht="15">
      <c r="A43" s="18">
        <v>10</v>
      </c>
      <c r="B43" s="7" t="s">
        <v>104</v>
      </c>
      <c r="C43" s="147"/>
      <c r="D43" s="13"/>
      <c r="E43" s="142"/>
      <c r="F43" s="143"/>
      <c r="G43" s="160"/>
      <c r="H43" s="324">
        <f t="shared" si="7"/>
        <v>0</v>
      </c>
      <c r="I43" s="252"/>
      <c r="J43" s="251"/>
      <c r="K43" s="252"/>
      <c r="L43" s="206"/>
      <c r="M43" s="206"/>
      <c r="N43" s="206"/>
      <c r="O43" s="212"/>
      <c r="P43" s="212"/>
      <c r="Q43" s="212"/>
      <c r="R43" s="212"/>
      <c r="S43" s="212"/>
      <c r="T43" s="248"/>
      <c r="U43" s="235"/>
      <c r="V43" s="217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19">
        <f t="shared" si="8"/>
        <v>0</v>
      </c>
      <c r="AH43" s="124">
        <f t="shared" si="9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10"/>
        <v>0</v>
      </c>
      <c r="AX43" s="431">
        <f t="shared" si="6"/>
        <v>0</v>
      </c>
    </row>
    <row r="44" spans="1:50" ht="15">
      <c r="A44" s="18">
        <v>11</v>
      </c>
      <c r="B44" s="7" t="s">
        <v>78</v>
      </c>
      <c r="C44" s="147"/>
      <c r="D44" s="13"/>
      <c r="E44" s="142"/>
      <c r="F44" s="143"/>
      <c r="G44" s="160"/>
      <c r="H44" s="324">
        <f t="shared" si="7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9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10"/>
        <v>0</v>
      </c>
      <c r="AX44" s="431">
        <f t="shared" si="6"/>
        <v>0</v>
      </c>
    </row>
    <row r="45" spans="1:50" s="190" customFormat="1" ht="15">
      <c r="A45" s="573">
        <v>12</v>
      </c>
      <c r="B45" s="618" t="s">
        <v>79</v>
      </c>
      <c r="C45" s="603">
        <v>1853</v>
      </c>
      <c r="D45" s="597">
        <v>22889877</v>
      </c>
      <c r="E45" s="598">
        <f>+D45*E31</f>
        <v>16022913.899999999</v>
      </c>
      <c r="F45" s="599">
        <f>+D45*F31</f>
        <v>6866963.0999999996</v>
      </c>
      <c r="G45" s="600"/>
      <c r="H45" s="324">
        <f t="shared" si="7"/>
        <v>22889877</v>
      </c>
      <c r="I45" s="253"/>
      <c r="J45" s="232"/>
      <c r="K45" s="253">
        <v>16022914</v>
      </c>
      <c r="L45" s="231"/>
      <c r="M45" s="231"/>
      <c r="N45" s="231"/>
      <c r="O45" s="212"/>
      <c r="P45" s="212"/>
      <c r="Q45" s="212"/>
      <c r="R45" s="212">
        <v>6866963</v>
      </c>
      <c r="S45" s="212"/>
      <c r="T45" s="248"/>
      <c r="U45" s="238"/>
      <c r="V45" s="230"/>
      <c r="W45" s="231">
        <v>16022914</v>
      </c>
      <c r="X45" s="231"/>
      <c r="Y45" s="231"/>
      <c r="Z45" s="231"/>
      <c r="AA45" s="231"/>
      <c r="AB45" s="231"/>
      <c r="AC45" s="231"/>
      <c r="AD45" s="231">
        <v>6866963</v>
      </c>
      <c r="AE45" s="231"/>
      <c r="AF45" s="231"/>
      <c r="AG45" s="219">
        <f t="shared" si="8"/>
        <v>22889877</v>
      </c>
      <c r="AH45" s="124">
        <f t="shared" si="9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/>
      <c r="AU45" s="231"/>
      <c r="AV45" s="436"/>
      <c r="AW45" s="228">
        <f t="shared" si="10"/>
        <v>0</v>
      </c>
      <c r="AX45" s="431">
        <f t="shared" si="6"/>
        <v>22889877</v>
      </c>
    </row>
    <row r="46" spans="1:50" ht="15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9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6"/>
        <v>0</v>
      </c>
    </row>
    <row r="47" spans="1:50" ht="15">
      <c r="A47" s="573">
        <v>14</v>
      </c>
      <c r="B47" s="575" t="s">
        <v>81</v>
      </c>
      <c r="C47" s="576">
        <v>2022</v>
      </c>
      <c r="D47" s="577">
        <v>13235585</v>
      </c>
      <c r="E47" s="578">
        <f>+D47*E31</f>
        <v>9264909.5</v>
      </c>
      <c r="F47" s="579">
        <f>+D47*F31</f>
        <v>3970675.5</v>
      </c>
      <c r="G47" s="580"/>
      <c r="H47" s="324">
        <f t="shared" si="7"/>
        <v>13235585</v>
      </c>
      <c r="I47" s="252"/>
      <c r="J47" s="221"/>
      <c r="K47" s="252"/>
      <c r="L47" s="206">
        <v>9264909</v>
      </c>
      <c r="M47" s="206"/>
      <c r="N47" s="206"/>
      <c r="O47" s="212"/>
      <c r="P47" s="212"/>
      <c r="Q47" s="212"/>
      <c r="R47" s="212">
        <v>3970676</v>
      </c>
      <c r="S47" s="212"/>
      <c r="T47" s="248"/>
      <c r="U47" s="235"/>
      <c r="V47" s="206"/>
      <c r="W47" s="206"/>
      <c r="X47" s="206">
        <v>9264909</v>
      </c>
      <c r="Y47" s="206"/>
      <c r="Z47" s="206"/>
      <c r="AA47" s="206"/>
      <c r="AB47" s="206"/>
      <c r="AC47" s="206"/>
      <c r="AD47" s="206">
        <v>3970676</v>
      </c>
      <c r="AE47" s="206"/>
      <c r="AF47" s="206"/>
      <c r="AG47" s="219">
        <f t="shared" si="8"/>
        <v>13235585</v>
      </c>
      <c r="AH47" s="124">
        <f t="shared" si="9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1">SUM(AK47:AV47)</f>
        <v>0</v>
      </c>
      <c r="AX47" s="431">
        <f t="shared" si="6"/>
        <v>13235585</v>
      </c>
    </row>
    <row r="48" spans="1:50" ht="15">
      <c r="A48" s="573">
        <v>15</v>
      </c>
      <c r="B48" s="575" t="s">
        <v>82</v>
      </c>
      <c r="C48" s="576">
        <v>1441</v>
      </c>
      <c r="D48" s="577">
        <v>26814300</v>
      </c>
      <c r="E48" s="578">
        <f>+D48*G31</f>
        <v>2234525</v>
      </c>
      <c r="F48" s="579">
        <f>+D48*G31</f>
        <v>2234525</v>
      </c>
      <c r="G48" s="580">
        <f>+D48*G31</f>
        <v>2234525</v>
      </c>
      <c r="H48" s="324">
        <f t="shared" si="7"/>
        <v>26814300</v>
      </c>
      <c r="I48" s="252"/>
      <c r="J48" s="221"/>
      <c r="K48" s="252">
        <v>6703575</v>
      </c>
      <c r="L48" s="206">
        <v>2234525</v>
      </c>
      <c r="M48" s="206">
        <v>2234525</v>
      </c>
      <c r="N48" s="206">
        <v>2234525</v>
      </c>
      <c r="O48" s="212">
        <v>2234525</v>
      </c>
      <c r="P48" s="212">
        <v>2234525</v>
      </c>
      <c r="Q48" s="212">
        <v>2234525</v>
      </c>
      <c r="R48" s="212">
        <v>2234525</v>
      </c>
      <c r="S48" s="212">
        <v>2234525</v>
      </c>
      <c r="T48" s="248">
        <v>2234525</v>
      </c>
      <c r="U48" s="235"/>
      <c r="V48" s="206"/>
      <c r="W48" s="206">
        <v>6703575</v>
      </c>
      <c r="X48" s="206">
        <v>2234525</v>
      </c>
      <c r="Y48" s="206">
        <v>2234525</v>
      </c>
      <c r="Z48" s="206">
        <v>2234525</v>
      </c>
      <c r="AA48" s="206"/>
      <c r="AB48" s="206">
        <v>2234525</v>
      </c>
      <c r="AC48" s="206">
        <f>2234525+2234525</f>
        <v>4469050</v>
      </c>
      <c r="AD48" s="206">
        <v>2234525</v>
      </c>
      <c r="AE48" s="206">
        <v>2234525</v>
      </c>
      <c r="AF48" s="206">
        <v>2234525</v>
      </c>
      <c r="AG48" s="219">
        <f t="shared" si="8"/>
        <v>26814300</v>
      </c>
      <c r="AH48" s="124">
        <f t="shared" si="9"/>
        <v>0</v>
      </c>
      <c r="AK48" s="235"/>
      <c r="AL48" s="206"/>
      <c r="AM48" s="206"/>
      <c r="AN48" s="206">
        <v>6251750</v>
      </c>
      <c r="AO48" s="206">
        <v>3593750</v>
      </c>
      <c r="AP48" s="206">
        <v>25939750</v>
      </c>
      <c r="AQ48" s="206">
        <v>7398000</v>
      </c>
      <c r="AR48" s="206"/>
      <c r="AS48" s="206">
        <v>8227041</v>
      </c>
      <c r="AT48" s="206">
        <v>16176291</v>
      </c>
      <c r="AU48" s="206">
        <v>6336000</v>
      </c>
      <c r="AV48" s="227">
        <v>6710500</v>
      </c>
      <c r="AW48" s="228">
        <f t="shared" si="11"/>
        <v>80633082</v>
      </c>
      <c r="AX48" s="431">
        <f t="shared" si="6"/>
        <v>-53818782</v>
      </c>
    </row>
    <row r="49" spans="1:50" ht="15">
      <c r="A49" s="573">
        <v>16</v>
      </c>
      <c r="B49" s="575" t="s">
        <v>83</v>
      </c>
      <c r="C49" s="576">
        <v>1854</v>
      </c>
      <c r="D49" s="577">
        <v>16815568</v>
      </c>
      <c r="E49" s="578">
        <f>+D49*E31</f>
        <v>11770897.6</v>
      </c>
      <c r="F49" s="579">
        <f>+D49*F31</f>
        <v>5044670.3999999994</v>
      </c>
      <c r="G49" s="580"/>
      <c r="H49" s="324">
        <f t="shared" si="7"/>
        <v>16815568.600000001</v>
      </c>
      <c r="I49" s="252"/>
      <c r="J49" s="221"/>
      <c r="K49" s="252">
        <v>11770897.6</v>
      </c>
      <c r="L49" s="206"/>
      <c r="M49" s="206"/>
      <c r="N49" s="206"/>
      <c r="O49" s="212"/>
      <c r="P49" s="212"/>
      <c r="Q49" s="212"/>
      <c r="R49" s="212">
        <v>5044671</v>
      </c>
      <c r="S49" s="212"/>
      <c r="T49" s="248"/>
      <c r="U49" s="235"/>
      <c r="V49" s="206"/>
      <c r="W49" s="206">
        <v>11770898</v>
      </c>
      <c r="X49" s="206"/>
      <c r="Y49" s="206"/>
      <c r="Z49" s="206"/>
      <c r="AA49" s="206"/>
      <c r="AB49" s="206"/>
      <c r="AC49" s="206"/>
      <c r="AD49" s="206"/>
      <c r="AE49" s="206">
        <v>5044671</v>
      </c>
      <c r="AF49" s="206"/>
      <c r="AG49" s="219">
        <f t="shared" si="8"/>
        <v>16815569</v>
      </c>
      <c r="AH49" s="124">
        <f t="shared" si="9"/>
        <v>-0.39999999850988388</v>
      </c>
      <c r="AK49" s="235"/>
      <c r="AL49" s="206"/>
      <c r="AN49" s="206">
        <v>3390000</v>
      </c>
      <c r="AO49" s="206">
        <v>1695000</v>
      </c>
      <c r="AP49" s="206">
        <v>3390000</v>
      </c>
      <c r="AQ49" s="206">
        <v>1695000</v>
      </c>
      <c r="AR49" s="206">
        <v>1695000</v>
      </c>
      <c r="AS49" s="206">
        <v>1541250</v>
      </c>
      <c r="AT49" s="206">
        <v>1618125</v>
      </c>
      <c r="AU49" s="206">
        <v>1695000</v>
      </c>
      <c r="AV49" s="227">
        <v>1223000</v>
      </c>
      <c r="AW49" s="228">
        <f t="shared" si="11"/>
        <v>17942375</v>
      </c>
      <c r="AX49" s="431">
        <f t="shared" si="6"/>
        <v>-1126806</v>
      </c>
    </row>
    <row r="50" spans="1:50" ht="15">
      <c r="A50" s="18">
        <v>17</v>
      </c>
      <c r="B50" s="7" t="s">
        <v>95</v>
      </c>
      <c r="C50" s="147">
        <v>1233</v>
      </c>
      <c r="D50" s="13">
        <v>0</v>
      </c>
      <c r="E50" s="142">
        <f>+D50*$E$31</f>
        <v>0</v>
      </c>
      <c r="F50" s="143">
        <f>+D50*$F$31</f>
        <v>0</v>
      </c>
      <c r="G50" s="16"/>
      <c r="H50" s="324">
        <f t="shared" si="7"/>
        <v>0</v>
      </c>
      <c r="I50" s="252"/>
      <c r="J50" s="221"/>
      <c r="K50" s="252"/>
      <c r="L50" s="206"/>
      <c r="M50" s="206"/>
      <c r="N50" s="206"/>
      <c r="O50" s="212"/>
      <c r="P50" s="212"/>
      <c r="Q50" s="212"/>
      <c r="R50" s="212"/>
      <c r="S50" s="212"/>
      <c r="T50" s="248"/>
      <c r="U50" s="235"/>
      <c r="V50" s="206"/>
      <c r="W50" s="206">
        <v>0</v>
      </c>
      <c r="X50" s="206"/>
      <c r="Y50" s="206"/>
      <c r="Z50" s="206"/>
      <c r="AA50" s="206"/>
      <c r="AB50" s="206"/>
      <c r="AC50" s="206"/>
      <c r="AD50" s="206"/>
      <c r="AE50" s="206"/>
      <c r="AF50" s="206"/>
      <c r="AG50" s="219">
        <f t="shared" si="8"/>
        <v>0</v>
      </c>
      <c r="AH50" s="124">
        <f t="shared" si="9"/>
        <v>0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1"/>
        <v>0</v>
      </c>
      <c r="AX50" s="431">
        <f t="shared" si="6"/>
        <v>0</v>
      </c>
    </row>
    <row r="51" spans="1:50" ht="15">
      <c r="A51" s="573">
        <v>18</v>
      </c>
      <c r="B51" s="575" t="s">
        <v>96</v>
      </c>
      <c r="C51" s="576">
        <v>1233</v>
      </c>
      <c r="D51" s="577">
        <v>22541103</v>
      </c>
      <c r="E51" s="578">
        <f>+D51*$E$31</f>
        <v>15778772.1</v>
      </c>
      <c r="F51" s="579">
        <f>+D51*$F$31</f>
        <v>6762330.8999999994</v>
      </c>
      <c r="G51" s="580">
        <f>+D51-H51</f>
        <v>0</v>
      </c>
      <c r="H51" s="324">
        <f t="shared" si="7"/>
        <v>22541103</v>
      </c>
      <c r="I51" s="252"/>
      <c r="J51" s="221"/>
      <c r="K51" s="252">
        <v>15778772.1</v>
      </c>
      <c r="L51" s="206"/>
      <c r="M51" s="206"/>
      <c r="N51" s="206"/>
      <c r="O51" s="212"/>
      <c r="P51" s="212"/>
      <c r="Q51" s="212"/>
      <c r="R51" s="212">
        <v>2966526.4058237853</v>
      </c>
      <c r="S51" s="212">
        <v>3795804.4941762164</v>
      </c>
      <c r="T51" s="248"/>
      <c r="U51" s="235"/>
      <c r="V51" s="206"/>
      <c r="W51" s="206">
        <v>15778772.1</v>
      </c>
      <c r="X51" s="206"/>
      <c r="Y51" s="206"/>
      <c r="Z51" s="206"/>
      <c r="AA51" s="206"/>
      <c r="AB51" s="206"/>
      <c r="AC51" s="206"/>
      <c r="AD51" s="206">
        <v>2966526.4058237853</v>
      </c>
      <c r="AE51" s="206">
        <v>3795804.4941762164</v>
      </c>
      <c r="AF51" s="206"/>
      <c r="AG51" s="219">
        <f t="shared" si="8"/>
        <v>22541103</v>
      </c>
      <c r="AH51" s="124">
        <f t="shared" si="9"/>
        <v>0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1"/>
        <v>0</v>
      </c>
      <c r="AX51" s="431">
        <f t="shared" si="6"/>
        <v>22541103</v>
      </c>
    </row>
    <row r="52" spans="1:50" ht="15">
      <c r="A52" s="573">
        <v>19</v>
      </c>
      <c r="B52" s="575" t="s">
        <v>97</v>
      </c>
      <c r="C52" s="576">
        <v>1233</v>
      </c>
      <c r="D52" s="577">
        <v>3592134</v>
      </c>
      <c r="E52" s="578">
        <f>+D52*$E$31</f>
        <v>2514493.7999999998</v>
      </c>
      <c r="F52" s="579">
        <f>+D52*$F$31</f>
        <v>1077640.2</v>
      </c>
      <c r="G52" s="580">
        <f>+D52-H52</f>
        <v>0</v>
      </c>
      <c r="H52" s="324">
        <f t="shared" si="7"/>
        <v>3592134</v>
      </c>
      <c r="I52" s="252"/>
      <c r="J52" s="221"/>
      <c r="K52" s="252">
        <v>2514493.7999999998</v>
      </c>
      <c r="L52" s="206"/>
      <c r="M52" s="206"/>
      <c r="N52" s="206"/>
      <c r="O52" s="212"/>
      <c r="P52" s="212"/>
      <c r="Q52" s="212"/>
      <c r="R52" s="212">
        <v>472743.51943901845</v>
      </c>
      <c r="S52" s="212">
        <v>604896.68056098185</v>
      </c>
      <c r="T52" s="248"/>
      <c r="U52" s="235"/>
      <c r="V52" s="206"/>
      <c r="W52" s="206">
        <v>2514493.7999999998</v>
      </c>
      <c r="X52" s="206"/>
      <c r="Y52" s="206"/>
      <c r="Z52" s="206"/>
      <c r="AA52" s="206"/>
      <c r="AB52" s="206"/>
      <c r="AC52" s="206"/>
      <c r="AD52" s="206">
        <v>472743.51943901845</v>
      </c>
      <c r="AE52" s="206">
        <v>604896.68056098185</v>
      </c>
      <c r="AF52" s="206"/>
      <c r="AG52" s="219">
        <f t="shared" si="8"/>
        <v>3592134</v>
      </c>
      <c r="AH52" s="124">
        <f t="shared" si="9"/>
        <v>0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1"/>
        <v>0</v>
      </c>
      <c r="AX52" s="431">
        <f t="shared" si="6"/>
        <v>3592134</v>
      </c>
    </row>
    <row r="53" spans="1:50" ht="15">
      <c r="A53" s="573">
        <v>20</v>
      </c>
      <c r="B53" s="575" t="s">
        <v>98</v>
      </c>
      <c r="C53" s="576">
        <v>1233</v>
      </c>
      <c r="D53" s="577">
        <v>866866</v>
      </c>
      <c r="E53" s="578">
        <f>+D53*$E$31</f>
        <v>606806.19999999995</v>
      </c>
      <c r="F53" s="579">
        <f>+D53*$F$31</f>
        <v>260059.8</v>
      </c>
      <c r="G53" s="580">
        <f>+D53-H53</f>
        <v>0</v>
      </c>
      <c r="H53" s="324">
        <f t="shared" si="7"/>
        <v>866866</v>
      </c>
      <c r="I53" s="252"/>
      <c r="J53" s="221"/>
      <c r="K53" s="252">
        <v>606806.19999999995</v>
      </c>
      <c r="L53" s="206"/>
      <c r="M53" s="206"/>
      <c r="N53" s="206"/>
      <c r="O53" s="212"/>
      <c r="P53" s="212"/>
      <c r="Q53" s="212"/>
      <c r="R53" s="212">
        <v>114084.07473719637</v>
      </c>
      <c r="S53" s="212">
        <v>145975.72526280372</v>
      </c>
      <c r="T53" s="248"/>
      <c r="U53" s="235"/>
      <c r="V53" s="206"/>
      <c r="W53" s="206">
        <v>606806.19999999995</v>
      </c>
      <c r="X53" s="206"/>
      <c r="Y53" s="206"/>
      <c r="Z53" s="206"/>
      <c r="AA53" s="206"/>
      <c r="AB53" s="206"/>
      <c r="AC53" s="206"/>
      <c r="AD53" s="206">
        <v>114084.07473719637</v>
      </c>
      <c r="AE53" s="206">
        <v>145975.72526280372</v>
      </c>
      <c r="AF53" s="206"/>
      <c r="AG53" s="219">
        <f t="shared" si="8"/>
        <v>866866</v>
      </c>
      <c r="AH53" s="124">
        <f t="shared" si="9"/>
        <v>0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1"/>
        <v>0</v>
      </c>
      <c r="AX53" s="431">
        <f t="shared" si="6"/>
        <v>866866</v>
      </c>
    </row>
    <row r="54" spans="1:50" ht="15">
      <c r="A54" s="18">
        <v>21</v>
      </c>
      <c r="B54" s="7" t="s">
        <v>84</v>
      </c>
      <c r="C54" s="147"/>
      <c r="D54" s="13"/>
      <c r="E54" s="142"/>
      <c r="F54" s="143"/>
      <c r="G54" s="160"/>
      <c r="H54" s="324">
        <f t="shared" si="7"/>
        <v>0</v>
      </c>
      <c r="I54" s="252"/>
      <c r="J54" s="221"/>
      <c r="K54" s="252"/>
      <c r="L54" s="206"/>
      <c r="M54" s="206"/>
      <c r="N54" s="206"/>
      <c r="O54" s="212"/>
      <c r="P54" s="212"/>
      <c r="Q54" s="212"/>
      <c r="R54" s="212"/>
      <c r="S54" s="212"/>
      <c r="T54" s="248"/>
      <c r="U54" s="235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19">
        <f t="shared" si="8"/>
        <v>0</v>
      </c>
      <c r="AH54" s="124">
        <f t="shared" si="9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1"/>
        <v>0</v>
      </c>
      <c r="AX54" s="431">
        <f t="shared" si="6"/>
        <v>0</v>
      </c>
    </row>
    <row r="55" spans="1:50" ht="15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7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9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1"/>
        <v>0</v>
      </c>
      <c r="AX55" s="431">
        <f t="shared" si="6"/>
        <v>0</v>
      </c>
    </row>
    <row r="56" spans="1:50" ht="15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9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1"/>
        <v>0</v>
      </c>
      <c r="AX56" s="431">
        <f t="shared" si="6"/>
        <v>0</v>
      </c>
    </row>
    <row r="57" spans="1:50" ht="15">
      <c r="A57" s="18">
        <v>24</v>
      </c>
      <c r="B57" s="7" t="s">
        <v>87</v>
      </c>
      <c r="C57" s="147"/>
      <c r="D57" s="13"/>
      <c r="E57" s="142"/>
      <c r="F57" s="143"/>
      <c r="G57" s="160"/>
      <c r="H57" s="324">
        <f t="shared" si="7"/>
        <v>0</v>
      </c>
      <c r="I57" s="252"/>
      <c r="J57" s="221"/>
      <c r="K57" s="252"/>
      <c r="L57" s="206"/>
      <c r="M57" s="206"/>
      <c r="N57" s="206"/>
      <c r="O57" s="212"/>
      <c r="P57" s="212"/>
      <c r="Q57" s="212"/>
      <c r="R57" s="212"/>
      <c r="S57" s="212"/>
      <c r="T57" s="248"/>
      <c r="U57" s="235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8"/>
        <v>0</v>
      </c>
      <c r="AH57" s="124">
        <f t="shared" si="9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1"/>
        <v>0</v>
      </c>
      <c r="AX57" s="431">
        <f t="shared" si="6"/>
        <v>0</v>
      </c>
    </row>
    <row r="58" spans="1:50" s="190" customFormat="1" ht="15">
      <c r="A58" s="573">
        <v>25</v>
      </c>
      <c r="B58" s="595" t="s">
        <v>109</v>
      </c>
      <c r="C58" s="603">
        <v>2023</v>
      </c>
      <c r="D58" s="597">
        <v>1745948</v>
      </c>
      <c r="E58" s="598">
        <f>+D58*E31</f>
        <v>1222163.5999999999</v>
      </c>
      <c r="F58" s="599">
        <f>+D58*F31</f>
        <v>523784.39999999997</v>
      </c>
      <c r="G58" s="600"/>
      <c r="H58" s="361">
        <f t="shared" si="7"/>
        <v>1745948</v>
      </c>
      <c r="I58" s="253"/>
      <c r="J58" s="232"/>
      <c r="K58" s="253"/>
      <c r="L58" s="231">
        <v>1222163</v>
      </c>
      <c r="M58" s="231"/>
      <c r="N58" s="231"/>
      <c r="O58" s="212"/>
      <c r="P58" s="212"/>
      <c r="Q58" s="212"/>
      <c r="R58" s="212">
        <v>523785</v>
      </c>
      <c r="S58" s="212"/>
      <c r="T58" s="248"/>
      <c r="U58" s="238"/>
      <c r="V58" s="231"/>
      <c r="W58" s="231"/>
      <c r="X58" s="231">
        <v>1222163</v>
      </c>
      <c r="Y58" s="231"/>
      <c r="Z58" s="231"/>
      <c r="AA58" s="231"/>
      <c r="AB58" s="231"/>
      <c r="AC58" s="231"/>
      <c r="AD58" s="231">
        <v>523785</v>
      </c>
      <c r="AE58" s="231"/>
      <c r="AF58" s="231"/>
      <c r="AG58" s="359">
        <f t="shared" si="8"/>
        <v>1745948</v>
      </c>
      <c r="AH58" s="350">
        <f t="shared" si="9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36"/>
      <c r="AW58" s="450">
        <f t="shared" si="11"/>
        <v>0</v>
      </c>
      <c r="AX58" s="431">
        <f t="shared" si="6"/>
        <v>1745948</v>
      </c>
    </row>
    <row r="59" spans="1:50" ht="15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9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1"/>
        <v>0</v>
      </c>
      <c r="AX59" s="431">
        <f t="shared" si="6"/>
        <v>0</v>
      </c>
    </row>
    <row r="60" spans="1:50" ht="15">
      <c r="A60" s="18">
        <v>27</v>
      </c>
      <c r="B60" s="7" t="s">
        <v>89</v>
      </c>
      <c r="C60" s="147"/>
      <c r="D60" s="13"/>
      <c r="E60" s="142"/>
      <c r="F60" s="143"/>
      <c r="G60" s="160"/>
      <c r="H60" s="324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9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1"/>
        <v>0</v>
      </c>
      <c r="AX60" s="431">
        <f t="shared" si="6"/>
        <v>0</v>
      </c>
    </row>
    <row r="61" spans="1:50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9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1"/>
        <v>0</v>
      </c>
      <c r="AX61" s="431">
        <f t="shared" si="6"/>
        <v>0</v>
      </c>
    </row>
    <row r="62" spans="1:50" ht="15">
      <c r="A62" s="18">
        <v>29</v>
      </c>
      <c r="B62" s="7" t="s">
        <v>103</v>
      </c>
      <c r="C62" s="147">
        <v>1448</v>
      </c>
      <c r="D62" s="13">
        <v>45593820</v>
      </c>
      <c r="E62" s="142"/>
      <c r="F62" s="143"/>
      <c r="G62" s="160"/>
      <c r="H62" s="324">
        <f t="shared" si="7"/>
        <v>45593820</v>
      </c>
      <c r="I62" s="252"/>
      <c r="J62" s="221"/>
      <c r="K62" s="252">
        <v>45593820</v>
      </c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>
        <v>45593820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45593820</v>
      </c>
      <c r="AH62" s="124">
        <f t="shared" si="9"/>
        <v>0</v>
      </c>
      <c r="AK62" s="235"/>
      <c r="AL62" s="206"/>
      <c r="AM62" s="206"/>
      <c r="AN62" s="206">
        <v>30775250</v>
      </c>
      <c r="AO62" s="206">
        <v>14932500</v>
      </c>
      <c r="AP62" s="206"/>
      <c r="AQ62" s="206"/>
      <c r="AR62" s="206"/>
      <c r="AS62" s="206"/>
      <c r="AT62" s="206"/>
      <c r="AU62" s="206"/>
      <c r="AV62" s="227"/>
      <c r="AW62" s="228">
        <f t="shared" si="11"/>
        <v>45707750</v>
      </c>
      <c r="AX62" s="431">
        <f t="shared" si="6"/>
        <v>-113930</v>
      </c>
    </row>
    <row r="63" spans="1:50" ht="15">
      <c r="A63" s="573">
        <v>30</v>
      </c>
      <c r="B63" s="575" t="s">
        <v>90</v>
      </c>
      <c r="C63" s="576">
        <v>2264</v>
      </c>
      <c r="D63" s="577">
        <v>25891032</v>
      </c>
      <c r="E63" s="578">
        <f>+D63*E31</f>
        <v>18123722.399999999</v>
      </c>
      <c r="F63" s="579">
        <f>+D63*F31</f>
        <v>7767309.5999999996</v>
      </c>
      <c r="G63" s="580"/>
      <c r="H63" s="324">
        <f t="shared" si="7"/>
        <v>25891032</v>
      </c>
      <c r="I63" s="252"/>
      <c r="J63" s="221"/>
      <c r="K63" s="252"/>
      <c r="L63" s="206">
        <v>18123722</v>
      </c>
      <c r="M63" s="206"/>
      <c r="N63" s="206"/>
      <c r="O63" s="212"/>
      <c r="P63" s="212"/>
      <c r="Q63" s="212"/>
      <c r="R63" s="212">
        <v>7767310</v>
      </c>
      <c r="S63" s="212"/>
      <c r="T63" s="248"/>
      <c r="U63" s="235"/>
      <c r="V63" s="206"/>
      <c r="W63" s="206"/>
      <c r="X63" s="206">
        <v>18123722</v>
      </c>
      <c r="Y63" s="206"/>
      <c r="Z63" s="206"/>
      <c r="AA63" s="206"/>
      <c r="AB63" s="206"/>
      <c r="AC63" s="206"/>
      <c r="AD63" s="206">
        <v>7767310</v>
      </c>
      <c r="AE63" s="206"/>
      <c r="AF63" s="206"/>
      <c r="AG63" s="219">
        <f t="shared" si="8"/>
        <v>25891032</v>
      </c>
      <c r="AH63" s="124">
        <f t="shared" si="9"/>
        <v>0</v>
      </c>
      <c r="AK63" s="235"/>
      <c r="AL63" s="206"/>
      <c r="AM63" s="206"/>
      <c r="AN63" s="206">
        <v>4142794</v>
      </c>
      <c r="AO63" s="206">
        <v>5294750</v>
      </c>
      <c r="AP63" s="206">
        <v>3225429</v>
      </c>
      <c r="AQ63" s="206">
        <v>2567080</v>
      </c>
      <c r="AR63" s="206"/>
      <c r="AS63" s="206">
        <v>3524911</v>
      </c>
      <c r="AT63" s="206">
        <v>616515</v>
      </c>
      <c r="AU63" s="206">
        <v>1586506</v>
      </c>
      <c r="AV63" s="227">
        <v>1102665</v>
      </c>
      <c r="AW63" s="228">
        <f t="shared" si="11"/>
        <v>22060650</v>
      </c>
      <c r="AX63" s="431">
        <f t="shared" si="6"/>
        <v>3830382</v>
      </c>
    </row>
    <row r="64" spans="1:50" ht="15">
      <c r="A64" s="18">
        <v>31</v>
      </c>
      <c r="B64" s="7" t="s">
        <v>91</v>
      </c>
      <c r="C64" s="147"/>
      <c r="D64" s="13"/>
      <c r="E64" s="142"/>
      <c r="F64" s="143"/>
      <c r="G64" s="160"/>
      <c r="H64" s="324">
        <f t="shared" si="7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9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1"/>
        <v>0</v>
      </c>
      <c r="AX64" s="431">
        <f t="shared" si="6"/>
        <v>0</v>
      </c>
    </row>
    <row r="65" spans="1:50" ht="15">
      <c r="A65" s="573">
        <v>32</v>
      </c>
      <c r="B65" s="575" t="s">
        <v>92</v>
      </c>
      <c r="C65" s="576">
        <v>1384</v>
      </c>
      <c r="D65" s="577">
        <v>1529500</v>
      </c>
      <c r="E65" s="578">
        <f>+D65*E31</f>
        <v>1070650</v>
      </c>
      <c r="F65" s="579">
        <f>+D65*F31</f>
        <v>458850</v>
      </c>
      <c r="G65" s="580"/>
      <c r="H65" s="324">
        <f t="shared" si="7"/>
        <v>1529500</v>
      </c>
      <c r="I65" s="252"/>
      <c r="J65" s="221"/>
      <c r="K65" s="252">
        <v>1070650</v>
      </c>
      <c r="L65" s="206"/>
      <c r="M65" s="206"/>
      <c r="N65" s="206"/>
      <c r="O65" s="212"/>
      <c r="P65" s="212"/>
      <c r="Q65" s="212"/>
      <c r="R65" s="212">
        <v>458850</v>
      </c>
      <c r="S65" s="212"/>
      <c r="T65" s="248"/>
      <c r="U65" s="235"/>
      <c r="V65" s="206"/>
      <c r="W65" s="206">
        <v>1070650</v>
      </c>
      <c r="X65" s="206"/>
      <c r="Y65" s="206"/>
      <c r="Z65" s="206"/>
      <c r="AA65" s="206"/>
      <c r="AB65" s="206"/>
      <c r="AC65" s="206"/>
      <c r="AD65" s="206">
        <v>458850</v>
      </c>
      <c r="AE65" s="206"/>
      <c r="AF65" s="206"/>
      <c r="AG65" s="219">
        <f t="shared" si="8"/>
        <v>1529500</v>
      </c>
      <c r="AH65" s="124">
        <f t="shared" si="9"/>
        <v>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1"/>
        <v>0</v>
      </c>
      <c r="AX65" s="431">
        <f t="shared" si="6"/>
        <v>1529500</v>
      </c>
    </row>
    <row r="66" spans="1:50" ht="15">
      <c r="A66" s="18">
        <v>33</v>
      </c>
      <c r="B66" s="52" t="s">
        <v>107</v>
      </c>
      <c r="C66" s="148"/>
      <c r="D66" s="43"/>
      <c r="E66" s="174"/>
      <c r="F66" s="175"/>
      <c r="G66" s="176"/>
      <c r="H66" s="324">
        <f t="shared" si="7"/>
        <v>0</v>
      </c>
      <c r="I66" s="254"/>
      <c r="J66" s="222"/>
      <c r="K66" s="254"/>
      <c r="L66" s="210"/>
      <c r="M66" s="210"/>
      <c r="N66" s="210"/>
      <c r="O66" s="212"/>
      <c r="P66" s="212"/>
      <c r="Q66" s="212"/>
      <c r="R66" s="212"/>
      <c r="S66" s="212"/>
      <c r="T66" s="248"/>
      <c r="U66" s="236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9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1"/>
        <v>0</v>
      </c>
      <c r="AX66" s="431">
        <f t="shared" si="6"/>
        <v>0</v>
      </c>
    </row>
    <row r="67" spans="1:50" s="190" customFormat="1" ht="34.5" customHeight="1">
      <c r="A67" s="602">
        <v>34</v>
      </c>
      <c r="B67" s="626" t="s">
        <v>180</v>
      </c>
      <c r="C67" s="627" t="s">
        <v>309</v>
      </c>
      <c r="D67" s="628">
        <f>19986471+49102000+25782742+9423096</f>
        <v>104294309</v>
      </c>
      <c r="E67" s="629">
        <v>13990529.699999999</v>
      </c>
      <c r="F67" s="630">
        <v>5995941.2999999998</v>
      </c>
      <c r="G67" s="631">
        <v>49102000</v>
      </c>
      <c r="H67" s="361">
        <f t="shared" si="7"/>
        <v>104294309</v>
      </c>
      <c r="I67" s="493"/>
      <c r="J67" s="494"/>
      <c r="K67" s="493">
        <v>13990529</v>
      </c>
      <c r="L67" s="371">
        <v>20380871</v>
      </c>
      <c r="M67" s="371">
        <v>33115000</v>
      </c>
      <c r="N67" s="371"/>
      <c r="O67" s="490"/>
      <c r="P67" s="490">
        <v>18047920</v>
      </c>
      <c r="Q67" s="490"/>
      <c r="R67" s="490">
        <f>7019143+2317750</f>
        <v>9336893</v>
      </c>
      <c r="S67" s="490">
        <v>9423096</v>
      </c>
      <c r="T67" s="491"/>
      <c r="U67" s="472"/>
      <c r="V67" s="371"/>
      <c r="W67" s="371">
        <v>13990529</v>
      </c>
      <c r="X67" s="371">
        <v>20380871</v>
      </c>
      <c r="Y67" s="371">
        <v>33115000</v>
      </c>
      <c r="Z67" s="371"/>
      <c r="AA67" s="371"/>
      <c r="AB67" s="371">
        <v>18047920</v>
      </c>
      <c r="AC67" s="371"/>
      <c r="AD67" s="371">
        <f>7019143+2317750</f>
        <v>9336893</v>
      </c>
      <c r="AE67" s="371">
        <v>9423096</v>
      </c>
      <c r="AF67" s="371"/>
      <c r="AG67" s="359">
        <f t="shared" si="8"/>
        <v>104294309</v>
      </c>
      <c r="AH67" s="350">
        <f t="shared" si="9"/>
        <v>0</v>
      </c>
      <c r="AK67" s="472"/>
      <c r="AL67" s="371"/>
      <c r="AM67" s="371"/>
      <c r="AN67" s="371"/>
      <c r="AO67" s="371">
        <v>5319634</v>
      </c>
      <c r="AP67" s="371">
        <v>19126258</v>
      </c>
      <c r="AQ67" s="371">
        <v>12444598</v>
      </c>
      <c r="AR67" s="371">
        <v>12368348</v>
      </c>
      <c r="AS67" s="371"/>
      <c r="AT67" s="371">
        <v>22209612</v>
      </c>
      <c r="AU67" s="371">
        <v>12137681</v>
      </c>
      <c r="AV67" s="443">
        <v>11654261</v>
      </c>
      <c r="AW67" s="450">
        <f t="shared" si="11"/>
        <v>95260392</v>
      </c>
      <c r="AX67" s="492">
        <f t="shared" si="6"/>
        <v>9033917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24">
        <f t="shared" si="7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2">SUM(U68:AF68)</f>
        <v>0</v>
      </c>
      <c r="AH68" s="124">
        <f t="shared" ref="AH68:AH82" si="13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>
        <v>11215848</v>
      </c>
      <c r="AU68" s="210"/>
      <c r="AV68" s="229"/>
      <c r="AW68" s="228">
        <f t="shared" ref="AW68:AW74" si="14">SUM(AK68:AV68)</f>
        <v>11215848</v>
      </c>
      <c r="AX68" s="431">
        <f t="shared" si="6"/>
        <v>-11215848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2"/>
        <v>0</v>
      </c>
      <c r="AH69" s="124">
        <f t="shared" si="13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4"/>
        <v>0</v>
      </c>
      <c r="AX69" s="431">
        <f t="shared" si="6"/>
        <v>0</v>
      </c>
    </row>
    <row r="70" spans="1:50" ht="15">
      <c r="A70" s="573">
        <v>37</v>
      </c>
      <c r="B70" s="568" t="s">
        <v>132</v>
      </c>
      <c r="C70" s="569">
        <v>2260</v>
      </c>
      <c r="D70" s="567">
        <v>17766917</v>
      </c>
      <c r="E70" s="563">
        <f>+D70*0.5</f>
        <v>8883458.5</v>
      </c>
      <c r="F70" s="564">
        <f>+D70*0.25</f>
        <v>4441729.25</v>
      </c>
      <c r="G70" s="565">
        <f>+D70*0.25</f>
        <v>4441729.25</v>
      </c>
      <c r="H70" s="324">
        <f t="shared" si="7"/>
        <v>17766917</v>
      </c>
      <c r="I70" s="254"/>
      <c r="J70" s="222"/>
      <c r="K70" s="254"/>
      <c r="L70" s="210"/>
      <c r="M70" s="210">
        <v>8883458</v>
      </c>
      <c r="N70" s="210"/>
      <c r="O70" s="212"/>
      <c r="P70" s="212">
        <v>4441729</v>
      </c>
      <c r="Q70" s="212"/>
      <c r="R70" s="212">
        <v>4441730</v>
      </c>
      <c r="S70" s="212"/>
      <c r="T70" s="248"/>
      <c r="U70" s="236"/>
      <c r="V70" s="210"/>
      <c r="W70" s="210"/>
      <c r="X70" s="210"/>
      <c r="Y70" s="210">
        <v>8883458</v>
      </c>
      <c r="Z70" s="210"/>
      <c r="AA70" s="210"/>
      <c r="AB70" s="210"/>
      <c r="AC70" s="210">
        <v>4441729</v>
      </c>
      <c r="AD70" s="210">
        <v>4441730</v>
      </c>
      <c r="AE70" s="210"/>
      <c r="AF70" s="210"/>
      <c r="AG70" s="219">
        <f t="shared" si="12"/>
        <v>17766917</v>
      </c>
      <c r="AH70" s="124">
        <f t="shared" si="13"/>
        <v>0</v>
      </c>
      <c r="AK70" s="236"/>
      <c r="AL70" s="210"/>
      <c r="AM70" s="210"/>
      <c r="AN70" s="210">
        <v>4936786</v>
      </c>
      <c r="AO70" s="210">
        <v>2468393</v>
      </c>
      <c r="AP70" s="210">
        <v>4936786</v>
      </c>
      <c r="AQ70" s="210">
        <v>2468393</v>
      </c>
      <c r="AR70" s="210">
        <v>2917048</v>
      </c>
      <c r="AS70" s="210">
        <v>3191322</v>
      </c>
      <c r="AT70" s="210">
        <v>2672173</v>
      </c>
      <c r="AU70" s="210">
        <v>3056158</v>
      </c>
      <c r="AV70" s="229">
        <v>2468393</v>
      </c>
      <c r="AW70" s="228">
        <f t="shared" si="14"/>
        <v>29115452</v>
      </c>
      <c r="AX70" s="431">
        <f t="shared" si="6"/>
        <v>-11348535</v>
      </c>
    </row>
    <row r="71" spans="1:50" ht="15">
      <c r="A71" s="573">
        <v>38</v>
      </c>
      <c r="B71" s="568" t="s">
        <v>129</v>
      </c>
      <c r="C71" s="569">
        <v>2800</v>
      </c>
      <c r="D71" s="567">
        <v>2020416</v>
      </c>
      <c r="E71" s="563">
        <f>+D71*E31</f>
        <v>1414291.2</v>
      </c>
      <c r="F71" s="564">
        <f>+D71*F31</f>
        <v>606124.79999999993</v>
      </c>
      <c r="G71" s="565"/>
      <c r="H71" s="324">
        <f t="shared" si="7"/>
        <v>2914591</v>
      </c>
      <c r="I71" s="254"/>
      <c r="J71" s="222"/>
      <c r="K71" s="254"/>
      <c r="L71" s="210"/>
      <c r="M71" s="210">
        <v>1414291</v>
      </c>
      <c r="N71" s="210"/>
      <c r="O71" s="212"/>
      <c r="P71" s="212"/>
      <c r="Q71" s="212"/>
      <c r="R71" s="212"/>
      <c r="S71" s="212">
        <v>1500300</v>
      </c>
      <c r="T71" s="248"/>
      <c r="U71" s="236"/>
      <c r="V71" s="210"/>
      <c r="W71" s="210"/>
      <c r="X71" s="210"/>
      <c r="Y71" s="210">
        <v>1414291</v>
      </c>
      <c r="Z71" s="210"/>
      <c r="AA71" s="210"/>
      <c r="AB71" s="210"/>
      <c r="AC71" s="210"/>
      <c r="AD71" s="210"/>
      <c r="AE71" s="210">
        <v>606125</v>
      </c>
      <c r="AF71" s="210"/>
      <c r="AG71" s="219">
        <f t="shared" si="12"/>
        <v>2020416</v>
      </c>
      <c r="AH71" s="124">
        <f t="shared" si="13"/>
        <v>894175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4"/>
        <v>0</v>
      </c>
      <c r="AX71" s="431">
        <f t="shared" si="6"/>
        <v>2020416</v>
      </c>
    </row>
    <row r="72" spans="1:50" ht="15">
      <c r="A72" s="573">
        <v>39</v>
      </c>
      <c r="B72" s="568" t="s">
        <v>133</v>
      </c>
      <c r="C72" s="569">
        <v>2218</v>
      </c>
      <c r="D72" s="567">
        <v>2413260</v>
      </c>
      <c r="E72" s="563">
        <v>804420</v>
      </c>
      <c r="F72" s="564">
        <v>804420</v>
      </c>
      <c r="G72" s="565">
        <v>804420</v>
      </c>
      <c r="H72" s="324">
        <f t="shared" si="7"/>
        <v>2413260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2"/>
        <v>796375.8</v>
      </c>
      <c r="AH72" s="124">
        <f t="shared" si="13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>
        <v>2416500</v>
      </c>
      <c r="AU72" s="210"/>
      <c r="AV72" s="229"/>
      <c r="AW72" s="228">
        <f t="shared" si="14"/>
        <v>2416500</v>
      </c>
      <c r="AX72" s="431">
        <f t="shared" si="6"/>
        <v>-1620124.2</v>
      </c>
    </row>
    <row r="73" spans="1:50" ht="15">
      <c r="A73" s="18">
        <v>40</v>
      </c>
      <c r="B73" s="52" t="s">
        <v>134</v>
      </c>
      <c r="C73" s="148"/>
      <c r="D73" s="43"/>
      <c r="E73" s="174"/>
      <c r="F73" s="175"/>
      <c r="G73" s="176"/>
      <c r="H73" s="324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2"/>
        <v>0</v>
      </c>
      <c r="AH73" s="124">
        <f t="shared" si="13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4"/>
        <v>0</v>
      </c>
      <c r="AX73" s="431">
        <f t="shared" si="6"/>
        <v>0</v>
      </c>
    </row>
    <row r="74" spans="1:50" ht="15">
      <c r="A74" s="18">
        <v>41</v>
      </c>
      <c r="B74" s="52" t="s">
        <v>135</v>
      </c>
      <c r="C74" s="148"/>
      <c r="D74" s="43"/>
      <c r="E74" s="174"/>
      <c r="F74" s="175"/>
      <c r="G74" s="176"/>
      <c r="H74" s="324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2"/>
        <v>0</v>
      </c>
      <c r="AH74" s="124">
        <f t="shared" si="13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4"/>
        <v>0</v>
      </c>
      <c r="AX74" s="431">
        <f t="shared" si="6"/>
        <v>0</v>
      </c>
    </row>
    <row r="75" spans="1:50" ht="15">
      <c r="A75" s="573">
        <v>42</v>
      </c>
      <c r="B75" s="568" t="s">
        <v>170</v>
      </c>
      <c r="C75" s="569" t="s">
        <v>193</v>
      </c>
      <c r="D75" s="567">
        <v>2422015</v>
      </c>
      <c r="E75" s="736" t="s">
        <v>172</v>
      </c>
      <c r="F75" s="737"/>
      <c r="G75" s="738"/>
      <c r="H75" s="324">
        <f t="shared" si="7"/>
        <v>2422015</v>
      </c>
      <c r="I75" s="254"/>
      <c r="J75" s="222"/>
      <c r="K75" s="254"/>
      <c r="L75" s="210"/>
      <c r="M75" s="210"/>
      <c r="N75" s="210"/>
      <c r="O75" s="212"/>
      <c r="P75" s="212"/>
      <c r="Q75" s="212">
        <v>2422015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5">SUM(U75:AF75)</f>
        <v>0</v>
      </c>
      <c r="AH75" s="124">
        <f t="shared" si="13"/>
        <v>2422015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6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9">
        <v>3615</v>
      </c>
      <c r="D76" s="567">
        <v>5001000</v>
      </c>
      <c r="E76" s="736" t="s">
        <v>172</v>
      </c>
      <c r="F76" s="737"/>
      <c r="G76" s="738"/>
      <c r="H76" s="324">
        <f t="shared" si="7"/>
        <v>5001000</v>
      </c>
      <c r="I76" s="254"/>
      <c r="J76" s="222"/>
      <c r="K76" s="254"/>
      <c r="L76" s="210"/>
      <c r="M76" s="210"/>
      <c r="N76" s="210">
        <v>0</v>
      </c>
      <c r="O76" s="212"/>
      <c r="P76" s="212">
        <v>3500700</v>
      </c>
      <c r="Q76" s="212">
        <v>1500300</v>
      </c>
      <c r="R76" s="212"/>
      <c r="S76" s="212"/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5"/>
        <v>0</v>
      </c>
      <c r="AH76" s="124">
        <f t="shared" si="13"/>
        <v>5001000</v>
      </c>
      <c r="AI76" s="170">
        <f>+AH75+AH76+AH77</f>
        <v>14903571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6"/>
        <v>0</v>
      </c>
      <c r="AX76" s="431">
        <f t="shared" si="6"/>
        <v>0</v>
      </c>
    </row>
    <row r="77" spans="1:50" ht="15">
      <c r="A77" s="573">
        <v>44</v>
      </c>
      <c r="B77" s="568" t="s">
        <v>188</v>
      </c>
      <c r="C77" s="569" t="s">
        <v>225</v>
      </c>
      <c r="D77" s="567">
        <f>7448682+29936238</f>
        <v>37384920</v>
      </c>
      <c r="E77" s="579">
        <f>29936238*0.7</f>
        <v>20955366.599999998</v>
      </c>
      <c r="F77" s="579">
        <f>29936238*0.3</f>
        <v>8980871.4000000004</v>
      </c>
      <c r="G77" s="579"/>
      <c r="H77" s="482">
        <f t="shared" si="7"/>
        <v>28435923</v>
      </c>
      <c r="I77" s="254"/>
      <c r="J77" s="222"/>
      <c r="K77" s="254"/>
      <c r="L77" s="210"/>
      <c r="M77" s="210"/>
      <c r="N77" s="210"/>
      <c r="O77" s="212"/>
      <c r="P77" s="212">
        <v>20955367</v>
      </c>
      <c r="Q77" s="212">
        <v>7480556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20955367</v>
      </c>
      <c r="AC77" s="210"/>
      <c r="AD77" s="210"/>
      <c r="AE77" s="210"/>
      <c r="AF77" s="210"/>
      <c r="AG77" s="219">
        <f t="shared" si="15"/>
        <v>20955367</v>
      </c>
      <c r="AH77" s="124">
        <f t="shared" si="13"/>
        <v>7480556</v>
      </c>
      <c r="AK77" s="236"/>
      <c r="AL77" s="210"/>
      <c r="AM77" s="210"/>
      <c r="AN77" s="210"/>
      <c r="AO77" s="210"/>
      <c r="AP77" s="210"/>
      <c r="AQ77" s="210"/>
      <c r="AR77" s="210">
        <v>14198079</v>
      </c>
      <c r="AS77" s="210">
        <v>2331624</v>
      </c>
      <c r="AT77" s="210">
        <v>2331624</v>
      </c>
      <c r="AU77" s="210">
        <v>2331624</v>
      </c>
      <c r="AV77" s="229">
        <v>2331624</v>
      </c>
      <c r="AW77" s="228">
        <f t="shared" si="16"/>
        <v>23524575</v>
      </c>
      <c r="AX77" s="431">
        <f t="shared" si="6"/>
        <v>-2569208</v>
      </c>
    </row>
    <row r="78" spans="1:50" ht="15">
      <c r="A78" s="18">
        <v>45</v>
      </c>
      <c r="B78" s="52" t="s">
        <v>189</v>
      </c>
      <c r="C78" s="148" t="s">
        <v>194</v>
      </c>
      <c r="D78" s="43">
        <v>89923918</v>
      </c>
      <c r="E78" s="792" t="s">
        <v>172</v>
      </c>
      <c r="F78" s="721"/>
      <c r="G78" s="793"/>
      <c r="H78" s="482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5"/>
        <v>0</v>
      </c>
      <c r="AH78" s="124">
        <f t="shared" si="13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6"/>
        <v>0</v>
      </c>
      <c r="AX78" s="431">
        <f>+AG78-AW78</f>
        <v>0</v>
      </c>
    </row>
    <row r="79" spans="1:50" ht="15">
      <c r="A79" s="18"/>
      <c r="B79" s="52" t="s">
        <v>205</v>
      </c>
      <c r="C79" s="148"/>
      <c r="D79" s="43"/>
      <c r="E79" s="480"/>
      <c r="F79" s="480"/>
      <c r="G79" s="480"/>
      <c r="H79" s="482">
        <f t="shared" si="7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5"/>
        <v>0</v>
      </c>
      <c r="AH79" s="124">
        <f t="shared" si="13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6"/>
        <v>0</v>
      </c>
      <c r="AX79" s="431">
        <f>+AG79-AW79</f>
        <v>0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176"/>
      <c r="H80" s="482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5"/>
        <v>0</v>
      </c>
      <c r="AH80" s="124">
        <f t="shared" si="13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6"/>
        <v>0</v>
      </c>
      <c r="AX80" s="431">
        <f>+AG80-AW80</f>
        <v>0</v>
      </c>
    </row>
    <row r="81" spans="1:50" ht="15">
      <c r="A81" s="621"/>
      <c r="B81" s="568" t="s">
        <v>256</v>
      </c>
      <c r="C81" s="569" t="s">
        <v>260</v>
      </c>
      <c r="D81" s="567">
        <v>2815655</v>
      </c>
      <c r="E81" s="563">
        <f>+D81</f>
        <v>2815655</v>
      </c>
      <c r="F81" s="564"/>
      <c r="G81" s="565"/>
      <c r="H81" s="482">
        <f t="shared" si="7"/>
        <v>2815655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2815655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219">
        <f t="shared" si="15"/>
        <v>2815655</v>
      </c>
      <c r="AH81" s="124">
        <f t="shared" si="13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6"/>
        <v>0</v>
      </c>
      <c r="AX81" s="431">
        <f>+AG81-AW81</f>
        <v>2815655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482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5"/>
        <v>0</v>
      </c>
      <c r="AH82" s="124">
        <f t="shared" si="13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6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459469808</v>
      </c>
      <c r="E83" s="86"/>
      <c r="F83" s="87"/>
      <c r="G83" s="88"/>
      <c r="H83" s="348">
        <f t="shared" ref="H83:AG83" si="17">SUM(H34:H82)</f>
        <v>364306723.60000002</v>
      </c>
      <c r="I83" s="255">
        <f t="shared" si="17"/>
        <v>0</v>
      </c>
      <c r="J83" s="256">
        <f t="shared" si="17"/>
        <v>0</v>
      </c>
      <c r="K83" s="256">
        <f t="shared" si="17"/>
        <v>125761581.7</v>
      </c>
      <c r="L83" s="256">
        <f t="shared" si="17"/>
        <v>51226190</v>
      </c>
      <c r="M83" s="256">
        <f t="shared" si="17"/>
        <v>45647274</v>
      </c>
      <c r="N83" s="256">
        <f t="shared" si="17"/>
        <v>2234525</v>
      </c>
      <c r="O83" s="256">
        <f t="shared" si="17"/>
        <v>2234525</v>
      </c>
      <c r="P83" s="256">
        <f t="shared" si="17"/>
        <v>49180241</v>
      </c>
      <c r="Q83" s="256">
        <f t="shared" si="17"/>
        <v>13637396</v>
      </c>
      <c r="R83" s="256">
        <f t="shared" si="17"/>
        <v>54445868</v>
      </c>
      <c r="S83" s="256">
        <f t="shared" si="17"/>
        <v>17704597.900000002</v>
      </c>
      <c r="T83" s="256">
        <f t="shared" si="17"/>
        <v>2234525</v>
      </c>
      <c r="U83" s="241">
        <f t="shared" si="17"/>
        <v>0</v>
      </c>
      <c r="V83" s="241">
        <f t="shared" si="17"/>
        <v>0</v>
      </c>
      <c r="W83" s="241">
        <f t="shared" si="17"/>
        <v>125761582.09999999</v>
      </c>
      <c r="X83" s="241">
        <f t="shared" si="17"/>
        <v>51226190</v>
      </c>
      <c r="Y83" s="241">
        <f t="shared" si="17"/>
        <v>45647274</v>
      </c>
      <c r="Z83" s="241">
        <f t="shared" si="17"/>
        <v>2234525</v>
      </c>
      <c r="AA83" s="241">
        <f t="shared" si="17"/>
        <v>0</v>
      </c>
      <c r="AB83" s="241">
        <f t="shared" si="17"/>
        <v>41237812</v>
      </c>
      <c r="AC83" s="241">
        <f t="shared" si="17"/>
        <v>8910779</v>
      </c>
      <c r="AD83" s="241">
        <f t="shared" si="17"/>
        <v>46987937</v>
      </c>
      <c r="AE83" s="241">
        <f t="shared" si="17"/>
        <v>21855093.900000002</v>
      </c>
      <c r="AF83" s="241">
        <f t="shared" si="17"/>
        <v>3030900.8</v>
      </c>
      <c r="AG83" s="241">
        <f t="shared" si="17"/>
        <v>346892093.80000001</v>
      </c>
      <c r="AH83" s="125">
        <f>+H83-AG83</f>
        <v>17414629.800000012</v>
      </c>
      <c r="AK83" s="425">
        <f t="shared" ref="AK83:AX83" si="18">SUM(AK34:AK82)</f>
        <v>0</v>
      </c>
      <c r="AL83" s="425">
        <f t="shared" si="18"/>
        <v>0</v>
      </c>
      <c r="AM83" s="425">
        <f t="shared" si="18"/>
        <v>0</v>
      </c>
      <c r="AN83" s="425">
        <f t="shared" si="18"/>
        <v>49496580</v>
      </c>
      <c r="AO83" s="425">
        <f t="shared" si="18"/>
        <v>33304027</v>
      </c>
      <c r="AP83" s="425">
        <f t="shared" si="18"/>
        <v>56618223</v>
      </c>
      <c r="AQ83" s="425">
        <f t="shared" si="18"/>
        <v>26573071</v>
      </c>
      <c r="AR83" s="425">
        <f t="shared" si="18"/>
        <v>31178475</v>
      </c>
      <c r="AS83" s="425">
        <f t="shared" si="18"/>
        <v>18816148</v>
      </c>
      <c r="AT83" s="425">
        <f t="shared" si="18"/>
        <v>59256688</v>
      </c>
      <c r="AU83" s="425">
        <f t="shared" si="18"/>
        <v>27142969</v>
      </c>
      <c r="AV83" s="438">
        <f t="shared" si="18"/>
        <v>25490443</v>
      </c>
      <c r="AW83" s="451">
        <f t="shared" si="18"/>
        <v>327876624</v>
      </c>
      <c r="AX83" s="429">
        <f t="shared" si="18"/>
        <v>19015469.800000001</v>
      </c>
    </row>
    <row r="84" spans="1:50" s="376" customFormat="1" ht="15.75" thickBot="1">
      <c r="D84" s="377"/>
      <c r="E84" s="378"/>
      <c r="F84" s="378"/>
      <c r="G84" s="378"/>
      <c r="H84" s="379"/>
      <c r="I84" s="379"/>
      <c r="J84" s="379"/>
      <c r="K84" s="379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3451294</v>
      </c>
      <c r="V84" s="396">
        <v>3451301</v>
      </c>
      <c r="W84" s="395">
        <v>3451307</v>
      </c>
      <c r="X84" s="396">
        <v>3451314</v>
      </c>
      <c r="Y84" s="395">
        <v>3458681</v>
      </c>
      <c r="Z84" s="396">
        <v>3467969</v>
      </c>
      <c r="AA84" s="395">
        <v>3481350</v>
      </c>
      <c r="AB84" s="396">
        <v>3491842</v>
      </c>
      <c r="AC84" s="395">
        <v>3510181</v>
      </c>
      <c r="AD84" s="396">
        <v>3513800</v>
      </c>
      <c r="AE84" s="395"/>
      <c r="AF84" s="395"/>
      <c r="AG84" s="379"/>
      <c r="AW84" s="376">
        <v>251230600</v>
      </c>
    </row>
    <row r="85" spans="1:50" ht="15.75" thickBot="1">
      <c r="A85" s="761" t="s">
        <v>94</v>
      </c>
      <c r="B85" s="762"/>
      <c r="C85" s="763"/>
      <c r="D85" s="133">
        <f>+D83+D30</f>
        <v>1382238151</v>
      </c>
      <c r="E85" s="127"/>
      <c r="F85" s="128"/>
      <c r="G85" s="128"/>
      <c r="H85" s="242">
        <f>+H30</f>
        <v>1068839229.89</v>
      </c>
      <c r="I85" s="215">
        <f t="shared" ref="I85:AH85" si="19">+I83+I30</f>
        <v>77010745</v>
      </c>
      <c r="J85" s="215">
        <f t="shared" si="19"/>
        <v>76896721</v>
      </c>
      <c r="K85" s="215">
        <f t="shared" si="19"/>
        <v>202525370.59</v>
      </c>
      <c r="L85" s="215">
        <f t="shared" si="19"/>
        <v>164909729</v>
      </c>
      <c r="M85" s="215">
        <f t="shared" si="19"/>
        <v>122556959</v>
      </c>
      <c r="N85" s="215">
        <f t="shared" si="19"/>
        <v>115463841</v>
      </c>
      <c r="O85" s="215">
        <f t="shared" si="19"/>
        <v>79144210</v>
      </c>
      <c r="P85" s="215">
        <f t="shared" si="19"/>
        <v>126089926</v>
      </c>
      <c r="Q85" s="215">
        <f t="shared" si="19"/>
        <v>126866712</v>
      </c>
      <c r="R85" s="215">
        <f t="shared" si="19"/>
        <v>131355553</v>
      </c>
      <c r="S85" s="215">
        <f t="shared" si="19"/>
        <v>94614282.900000006</v>
      </c>
      <c r="T85" s="257">
        <f t="shared" si="19"/>
        <v>115711904</v>
      </c>
      <c r="U85" s="242">
        <f t="shared" si="19"/>
        <v>77010745</v>
      </c>
      <c r="V85" s="215">
        <f t="shared" si="19"/>
        <v>76896721</v>
      </c>
      <c r="W85" s="285">
        <f t="shared" si="19"/>
        <v>202525370.09999999</v>
      </c>
      <c r="X85" s="242">
        <f t="shared" si="19"/>
        <v>164909729</v>
      </c>
      <c r="Y85" s="215">
        <f t="shared" si="19"/>
        <v>122556959</v>
      </c>
      <c r="Z85" s="285">
        <f t="shared" si="19"/>
        <v>115463841</v>
      </c>
      <c r="AA85" s="242">
        <f t="shared" si="19"/>
        <v>76909685</v>
      </c>
      <c r="AB85" s="215">
        <f t="shared" si="19"/>
        <v>118147497</v>
      </c>
      <c r="AC85" s="285">
        <f t="shared" si="19"/>
        <v>122140095</v>
      </c>
      <c r="AD85" s="242">
        <f t="shared" si="19"/>
        <v>123897622</v>
      </c>
      <c r="AE85" s="215">
        <f t="shared" si="19"/>
        <v>98764778.900000006</v>
      </c>
      <c r="AF85" s="285">
        <f t="shared" si="19"/>
        <v>116508279.8</v>
      </c>
      <c r="AG85" s="282">
        <f t="shared" si="19"/>
        <v>1415731322.8</v>
      </c>
      <c r="AH85" s="132">
        <f t="shared" si="19"/>
        <v>17414630.689999998</v>
      </c>
      <c r="AR85" s="473"/>
      <c r="AW85" s="473">
        <f>+AW83-AW84</f>
        <v>76646024</v>
      </c>
    </row>
    <row r="86" spans="1:50">
      <c r="G86" s="504"/>
      <c r="H86" s="505"/>
      <c r="I86" s="505"/>
      <c r="J86" s="505"/>
      <c r="K86" s="505"/>
      <c r="L86" s="505"/>
      <c r="M86" s="505"/>
      <c r="N86" s="505"/>
      <c r="O86" s="505"/>
      <c r="P86" s="505"/>
    </row>
    <row r="87" spans="1:50" ht="15" thickBot="1">
      <c r="D87" s="1"/>
      <c r="E87" s="1"/>
      <c r="F87" s="207"/>
      <c r="G87" s="506"/>
      <c r="H87" s="505"/>
      <c r="I87" s="505"/>
      <c r="J87" s="505"/>
      <c r="K87" s="505"/>
      <c r="L87" s="505"/>
      <c r="M87" s="505"/>
      <c r="N87" s="505"/>
      <c r="O87" s="505"/>
      <c r="P87" s="505"/>
    </row>
    <row r="88" spans="1:50" ht="15.75" thickBot="1">
      <c r="A88" s="273"/>
      <c r="B88" s="758" t="s">
        <v>118</v>
      </c>
      <c r="C88" s="759"/>
      <c r="D88" s="760"/>
      <c r="F88" s="299"/>
      <c r="G88" s="507"/>
      <c r="H88" s="505"/>
      <c r="I88" s="505"/>
      <c r="J88" s="505"/>
      <c r="K88" s="505"/>
      <c r="L88" s="505"/>
      <c r="M88" s="505"/>
      <c r="N88" s="505"/>
      <c r="O88" s="505"/>
      <c r="P88" s="505"/>
    </row>
    <row r="89" spans="1:50">
      <c r="A89" s="274" t="s">
        <v>119</v>
      </c>
      <c r="B89" s="708" t="s">
        <v>123</v>
      </c>
      <c r="C89" s="709"/>
      <c r="D89" s="275">
        <f>+U85+V85+W85</f>
        <v>356432836.10000002</v>
      </c>
      <c r="F89" s="299"/>
    </row>
    <row r="90" spans="1:50">
      <c r="A90" s="276" t="s">
        <v>120</v>
      </c>
      <c r="B90" s="706" t="s">
        <v>124</v>
      </c>
      <c r="C90" s="707"/>
      <c r="D90" s="277">
        <f>+X85+Y85+Z85</f>
        <v>402930529</v>
      </c>
    </row>
    <row r="91" spans="1:50">
      <c r="A91" s="276" t="s">
        <v>121</v>
      </c>
      <c r="B91" s="706" t="s">
        <v>125</v>
      </c>
      <c r="C91" s="707"/>
      <c r="D91" s="277">
        <f>+AA85+AB85+AC85</f>
        <v>317197277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339170680.69999999</v>
      </c>
    </row>
    <row r="93" spans="1:50" ht="15.75" customHeight="1" thickBot="1">
      <c r="A93" s="756" t="s">
        <v>117</v>
      </c>
      <c r="B93" s="757"/>
      <c r="C93" s="757"/>
      <c r="D93" s="280">
        <f>SUM(D89:D92)</f>
        <v>1415731322.8</v>
      </c>
    </row>
    <row r="97" spans="2:6" ht="15">
      <c r="B97" s="509" t="s">
        <v>234</v>
      </c>
      <c r="E97" s="1"/>
    </row>
    <row r="98" spans="2:6">
      <c r="B98" s="700" t="s">
        <v>252</v>
      </c>
      <c r="C98" s="700"/>
      <c r="D98" s="700"/>
      <c r="E98" s="700"/>
    </row>
    <row r="99" spans="2:6">
      <c r="B99" s="700"/>
      <c r="C99" s="700"/>
      <c r="D99" s="700"/>
      <c r="E99" s="700"/>
    </row>
    <row r="100" spans="2:6">
      <c r="B100" s="700"/>
      <c r="C100" s="700"/>
      <c r="D100" s="700"/>
      <c r="E100" s="700"/>
    </row>
    <row r="101" spans="2:6">
      <c r="B101" s="510"/>
      <c r="C101" s="510"/>
      <c r="D101" s="510"/>
      <c r="E101" s="510"/>
    </row>
    <row r="102" spans="2:6" ht="15">
      <c r="B102" s="510"/>
      <c r="C102" s="508" t="s">
        <v>82</v>
      </c>
      <c r="D102" s="511">
        <v>2234525</v>
      </c>
      <c r="E102" s="510"/>
    </row>
    <row r="103" spans="2:6" ht="15">
      <c r="C103" s="508" t="s">
        <v>236</v>
      </c>
      <c r="D103" s="511">
        <v>4441729</v>
      </c>
      <c r="E103" s="298"/>
    </row>
    <row r="104" spans="2:6">
      <c r="D104" s="6">
        <f>SUM(D102:D103)</f>
        <v>6676254</v>
      </c>
      <c r="E104" s="298"/>
    </row>
    <row r="105" spans="2:6">
      <c r="F105" s="299">
        <v>500072927</v>
      </c>
    </row>
    <row r="106" spans="2:6">
      <c r="F106" s="298">
        <f>+D104+'Viña del Mar'!D103+'Villa Alemana'!D105+Quintero!D103+Quilpue!D105+Quillota!D104+Puchuncavi!D104+Petorca!D104+Papudo!D104+Olmue!D104+Nogales!D104+'La Ligua'!D104+'La Cruz'!D104+Hijuelas!D105+Concón!D105+'La Calera'!D105+Cabildo!C104</f>
        <v>500072927</v>
      </c>
    </row>
    <row r="107" spans="2:6">
      <c r="F107" s="298">
        <f>+F105-F106</f>
        <v>0</v>
      </c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X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 H16:H21" formulaRange="1"/>
  </ignoredError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A2:AX111"/>
  <sheetViews>
    <sheetView topLeftCell="B53" zoomScale="60" zoomScaleNormal="60" workbookViewId="0">
      <selection activeCell="B73" sqref="A73:XFD73"/>
    </sheetView>
  </sheetViews>
  <sheetFormatPr baseColWidth="10" defaultRowHeight="14.25"/>
  <cols>
    <col min="1" max="1" width="4.85546875" style="1" customWidth="1"/>
    <col min="2" max="2" width="49" style="1" bestFit="1" customWidth="1"/>
    <col min="3" max="3" width="0" style="1" hidden="1" customWidth="1"/>
    <col min="4" max="4" width="20.7109375" style="6" hidden="1" customWidth="1"/>
    <col min="5" max="5" width="18.85546875" style="4" hidden="1" customWidth="1"/>
    <col min="6" max="6" width="14.42578125" style="4" customWidth="1"/>
    <col min="7" max="7" width="22.28515625" style="4" customWidth="1"/>
    <col min="8" max="8" width="21.42578125" style="207" customWidth="1"/>
    <col min="9" max="9" width="19.42578125" style="207" hidden="1" customWidth="1"/>
    <col min="10" max="10" width="19.85546875" style="207" hidden="1" customWidth="1"/>
    <col min="11" max="11" width="19.28515625" style="207" hidden="1" customWidth="1"/>
    <col min="12" max="12" width="21.140625" style="207" hidden="1" customWidth="1"/>
    <col min="13" max="13" width="19.85546875" style="207" hidden="1" customWidth="1"/>
    <col min="14" max="17" width="20.28515625" style="207" hidden="1" customWidth="1"/>
    <col min="18" max="18" width="21.5703125" style="207" customWidth="1"/>
    <col min="19" max="19" width="24.140625" style="207" bestFit="1" customWidth="1"/>
    <col min="20" max="20" width="23.28515625" style="207" customWidth="1"/>
    <col min="21" max="21" width="19" style="207" hidden="1" customWidth="1"/>
    <col min="22" max="22" width="19.42578125" style="207" hidden="1" customWidth="1"/>
    <col min="23" max="23" width="20.140625" style="207" hidden="1" customWidth="1"/>
    <col min="24" max="24" width="20.5703125" style="207" hidden="1" customWidth="1"/>
    <col min="25" max="25" width="20.28515625" style="207" hidden="1" customWidth="1"/>
    <col min="26" max="26" width="21.85546875" style="207" hidden="1" customWidth="1"/>
    <col min="27" max="27" width="22.42578125" style="207" hidden="1" customWidth="1"/>
    <col min="28" max="28" width="19.85546875" style="207" hidden="1" customWidth="1"/>
    <col min="29" max="29" width="20.28515625" style="207" hidden="1" customWidth="1"/>
    <col min="30" max="30" width="19" style="207" hidden="1" customWidth="1"/>
    <col min="31" max="31" width="17.140625" style="207" hidden="1" customWidth="1"/>
    <col min="32" max="32" width="15.85546875" style="207" hidden="1" customWidth="1"/>
    <col min="33" max="33" width="20.28515625" style="207" customWidth="1"/>
    <col min="34" max="34" width="20.28515625" style="1" bestFit="1" customWidth="1"/>
    <col min="35" max="35" width="16.5703125" style="1" bestFit="1" customWidth="1"/>
    <col min="36" max="36" width="15.140625" style="1" bestFit="1" customWidth="1"/>
    <col min="37" max="47" width="0" style="1" hidden="1" customWidth="1"/>
    <col min="48" max="48" width="19.140625" style="1" hidden="1" customWidth="1"/>
    <col min="49" max="49" width="16.42578125" style="1" hidden="1" customWidth="1"/>
    <col min="50" max="50" width="21" style="1" hidden="1" customWidth="1"/>
    <col min="51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  <c r="AE5" s="243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  <c r="AE6" s="243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8" spans="1:34">
      <c r="D8" s="6" t="s">
        <v>287</v>
      </c>
      <c r="E8" s="299">
        <v>6094211910</v>
      </c>
      <c r="G8" s="4" t="s">
        <v>290</v>
      </c>
      <c r="H8" s="207">
        <v>154888256</v>
      </c>
    </row>
    <row r="9" spans="1:34">
      <c r="D9" s="6" t="s">
        <v>288</v>
      </c>
      <c r="E9" s="299">
        <v>104557033</v>
      </c>
      <c r="G9" s="4" t="s">
        <v>291</v>
      </c>
      <c r="H9" s="207">
        <v>3656034908.5999999</v>
      </c>
    </row>
    <row r="10" spans="1:34">
      <c r="B10" s="3" t="s">
        <v>136</v>
      </c>
      <c r="D10" s="6" t="s">
        <v>289</v>
      </c>
      <c r="E10" s="299">
        <v>48071190</v>
      </c>
      <c r="G10" s="4" t="s">
        <v>292</v>
      </c>
      <c r="H10" s="207">
        <v>278309676</v>
      </c>
    </row>
    <row r="11" spans="1:34">
      <c r="B11" s="3" t="s">
        <v>5</v>
      </c>
      <c r="E11" s="503">
        <f>SUM(E8:E10)</f>
        <v>6246840133</v>
      </c>
      <c r="H11" s="207">
        <f>SUM(H8:H10)</f>
        <v>4089232840.5999999</v>
      </c>
    </row>
    <row r="12" spans="1:34">
      <c r="B12" s="3" t="s">
        <v>70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98" t="s">
        <v>25</v>
      </c>
      <c r="F14" s="745"/>
      <c r="G14" s="746"/>
      <c r="H14" s="774" t="s">
        <v>38</v>
      </c>
      <c r="I14" s="775"/>
      <c r="J14" s="775"/>
      <c r="K14" s="775"/>
      <c r="L14" s="775"/>
      <c r="M14" s="775"/>
      <c r="N14" s="775"/>
      <c r="O14" s="775"/>
      <c r="P14" s="775"/>
      <c r="Q14" s="775"/>
      <c r="R14" s="775"/>
      <c r="S14" s="775"/>
      <c r="T14" s="797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30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92" t="s">
        <v>12</v>
      </c>
      <c r="V15" s="293" t="s">
        <v>13</v>
      </c>
      <c r="W15" s="293" t="s">
        <v>14</v>
      </c>
      <c r="X15" s="293" t="s">
        <v>15</v>
      </c>
      <c r="Y15" s="293" t="s">
        <v>16</v>
      </c>
      <c r="Z15" s="293" t="s">
        <v>17</v>
      </c>
      <c r="AA15" s="293" t="s">
        <v>18</v>
      </c>
      <c r="AB15" s="293" t="s">
        <v>19</v>
      </c>
      <c r="AC15" s="293" t="s">
        <v>20</v>
      </c>
      <c r="AD15" s="293" t="s">
        <v>21</v>
      </c>
      <c r="AE15" s="293" t="s">
        <v>22</v>
      </c>
      <c r="AF15" s="294" t="s">
        <v>23</v>
      </c>
      <c r="AG15" s="224" t="s">
        <v>24</v>
      </c>
      <c r="AH15" s="118" t="s">
        <v>37</v>
      </c>
    </row>
    <row r="16" spans="1:34" ht="15.75" thickBot="1">
      <c r="A16" s="18">
        <v>1</v>
      </c>
      <c r="B16" s="19" t="s">
        <v>26</v>
      </c>
      <c r="C16" s="146" t="s">
        <v>29</v>
      </c>
      <c r="D16" s="21">
        <f>+Cabildo!D16+'La Calera'!D16+Concón!D16+Hijuelas!D16+'La Cruz'!D16+'La Ligua'!D16+Nogales!D16+Olmue!D16+Papudo!D16+Petorca!D16+Puchuncavi!D16+Quillota!D16+Quilpue!D16+Quintero!D16+'Villa Alemana'!D16+'Viña del Mar'!D16+Zapallar!D16</f>
        <v>72833682156</v>
      </c>
      <c r="E16" s="22"/>
      <c r="F16" s="23"/>
      <c r="G16" s="24"/>
      <c r="H16" s="322">
        <f>SUM(I16:T16)</f>
        <v>72833682036</v>
      </c>
      <c r="I16" s="250">
        <f>+Cabildo!I16+'La Calera'!I16+Concón!I16+Hijuelas!I16+'La Cruz'!I16+'La Ligua'!I16+Nogales!I16+Olmue!I16+Papudo!I16+Petorca!I16+Puchuncavi!I16+Quillota!I16+Quilpue!I16+Quintero!I16+'Villa Alemana'!I16+'Viña del Mar'!I16+Zapallar!I16</f>
        <v>6069473503</v>
      </c>
      <c r="J16" s="250">
        <f>+Cabildo!J16+'La Calera'!J16+Concón!J16+Hijuelas!J16+'La Cruz'!J16+'La Ligua'!J16+Nogales!J16+Olmue!J16+Papudo!J16+Petorca!J16+Puchuncavi!J16+Quillota!J16+Quilpue!J16+Quintero!J16+'Villa Alemana'!J16+'Viña del Mar'!J16+Zapallar!J16</f>
        <v>6069473503</v>
      </c>
      <c r="K16" s="250">
        <f>+Cabildo!K16+'La Calera'!K16+Concón!K16+Hijuelas!K16+'La Cruz'!K16+'La Ligua'!K16+Nogales!K16+Olmue!K16+Papudo!K16+Petorca!K16+Puchuncavi!K16+Quillota!K16+Quilpue!K16+Quintero!K16+'Villa Alemana'!K16+'Viña del Mar'!K16+Zapallar!K16</f>
        <v>6069473503</v>
      </c>
      <c r="L16" s="250">
        <f>+Cabildo!L16+'La Calera'!L16+Concón!L16+Hijuelas!L16+'La Cruz'!L16+'La Ligua'!L16+Nogales!L16+Olmue!L16+Papudo!L16+Petorca!L16+Puchuncavi!L16+Quillota!L16+Quilpue!L16+Quintero!L16+'Villa Alemana'!L16+'Viña del Mar'!L16+Zapallar!L16</f>
        <v>6069473503</v>
      </c>
      <c r="M16" s="250">
        <f>+Cabildo!M16+'La Calera'!M16+Concón!M16+Hijuelas!M16+'La Cruz'!M16+'La Ligua'!M16+Nogales!M16+Olmue!M16+Papudo!M16+Petorca!M16+Puchuncavi!M16+Quillota!M16+Quilpue!M16+Quintero!M16+'Villa Alemana'!M16+'Viña del Mar'!M16+Zapallar!M16</f>
        <v>6069473503</v>
      </c>
      <c r="N16" s="250">
        <f>+Cabildo!N16+'La Calera'!N16+Concón!N16+Hijuelas!N16+'La Cruz'!N16+'La Ligua'!N16+Nogales!N16+Olmue!N16+Papudo!N16+Petorca!N16+Puchuncavi!N16+Quillota!N16+Quilpue!N16+Quintero!N16+'Villa Alemana'!N16+'Viña del Mar'!N16+Zapallar!N16</f>
        <v>6069473503</v>
      </c>
      <c r="O16" s="250">
        <f>+Cabildo!O16+'La Calera'!O16+Concón!O16+Hijuelas!O16+'La Cruz'!O16+'La Ligua'!O16+Nogales!O16+Olmue!O16+Papudo!O16+Petorca!O16+Puchuncavi!O16+Quillota!O16+Quilpue!O16+Quintero!O16+'Villa Alemana'!O16+'Viña del Mar'!O16+Zapallar!O16</f>
        <v>6069473503</v>
      </c>
      <c r="P16" s="250">
        <f>+Cabildo!P16+'La Calera'!P16+Concón!P16+Hijuelas!P16+'La Cruz'!P16+'La Ligua'!P16+Nogales!P16+Olmue!P16+Papudo!P16+Petorca!P16+Puchuncavi!P16+Quillota!P16+Quilpue!P16+Quintero!P16+'Villa Alemana'!P16+'Viña del Mar'!P16+Zapallar!P16</f>
        <v>6069473503</v>
      </c>
      <c r="Q16" s="250">
        <f>+Cabildo!Q16+'La Calera'!Q16+Concón!Q16+Hijuelas!Q16+'La Cruz'!Q16+'La Ligua'!Q16+Nogales!Q16+Olmue!Q16+Papudo!Q16+Petorca!Q16+Puchuncavi!Q16+Quillota!Q16+Quilpue!Q16+Quintero!Q16+'Villa Alemana'!Q16+'Viña del Mar'!Q16+Zapallar!Q16</f>
        <v>6069473503</v>
      </c>
      <c r="R16" s="250">
        <f>+Cabildo!R16+'La Calera'!R16+Concón!R16+Hijuelas!R16+'La Cruz'!R16+'La Ligua'!R16+Nogales!R16+Olmue!R16+Papudo!R16+Petorca!R16+Puchuncavi!R16+Quillota!R16+Quilpue!R16+Quintero!R16+'Villa Alemana'!R16+'Viña del Mar'!R16+Zapallar!R16</f>
        <v>6069473503</v>
      </c>
      <c r="S16" s="250">
        <f>+Cabildo!S16+'La Calera'!S16+Concón!S16+Hijuelas!S16+'La Cruz'!S16+'La Ligua'!S16+Nogales!S16+Olmue!S16+Papudo!S16+Petorca!S16+Puchuncavi!S16+Quillota!S16+Quilpue!S16+Quintero!S16+'Villa Alemana'!S16+'Viña del Mar'!S16+Zapallar!S16</f>
        <v>6069473503</v>
      </c>
      <c r="T16" s="514">
        <f>+Cabildo!T16+'La Calera'!T16+Concón!T16+Hijuelas!T16+'La Cruz'!T16+'La Ligua'!T16+Nogales!T16+Olmue!T16+Papudo!T16+Petorca!T16+Puchuncavi!T16+Quillota!T16+Quilpue!T16+Quintero!T16+'Villa Alemana'!T16+'Viña del Mar'!T16+Zapallar!T16</f>
        <v>6069473503</v>
      </c>
      <c r="U16" s="234">
        <f>+Cabildo!U16+'La Calera'!U16+Concón!U16+Hijuelas!U16+'La Cruz'!U16+'La Ligua'!U16+Nogales!U16+Olmue!U16+Papudo!U16+Petorca!U16+Puchuncavi!U16+Quillota!U16+Quilpue!U16+Quintero!U16+'Villa Alemana'!U16+'Viña del Mar'!U16+Zapallar!U16</f>
        <v>6069473503</v>
      </c>
      <c r="V16" s="209">
        <f>+Cabildo!V16+'La Calera'!V16+Concón!V16+Hijuelas!V16+'La Cruz'!V16+'La Ligua'!V16+Nogales!V16+Olmue!V16+Papudo!V16+Petorca!V16+Puchuncavi!V16+Quillota!V16+Quilpue!V16+Quintero!V16+'Villa Alemana'!V16+'Viña del Mar'!V16+Zapallar!V16</f>
        <v>6069473503</v>
      </c>
      <c r="W16" s="209">
        <f>+Cabildo!W16+'La Calera'!W16+Concón!W16+Hijuelas!W16+'La Cruz'!W16+'La Ligua'!W16+Nogales!W16+Olmue!W16+Papudo!W16+Petorca!W16+Puchuncavi!W16+Quillota!W16+Quilpue!W16+Quintero!W16+'Villa Alemana'!W16+'Viña del Mar'!W16+Zapallar!W16</f>
        <v>6069473503</v>
      </c>
      <c r="X16" s="209">
        <f>+Cabildo!X16+'La Calera'!X16+Concón!X16+Hijuelas!X16+'La Cruz'!X16+'La Ligua'!X16+Nogales!X16+Olmue!X16+Papudo!X16+Petorca!X16+Puchuncavi!X16+Quillota!X16+Quilpue!X16+Quintero!X16+'Villa Alemana'!X16+'Viña del Mar'!X16+Zapallar!X16</f>
        <v>6069473503</v>
      </c>
      <c r="Y16" s="209">
        <f>+Cabildo!Y16+'La Calera'!Y16+Concón!Y16+Hijuelas!Y16+'La Cruz'!Y16+'La Ligua'!Y16+Nogales!Y16+Olmue!Y16+Papudo!Y16+Petorca!Y16+Puchuncavi!Y16+Quillota!Y16+Quilpue!Y16+Quintero!Y16+'Villa Alemana'!Y16+'Viña del Mar'!Y16+Zapallar!Y16</f>
        <v>6069473503</v>
      </c>
      <c r="Z16" s="209">
        <f>+Cabildo!Z16+'La Calera'!Z16+Concón!Z16+Hijuelas!Z16+'La Cruz'!Z16+'La Ligua'!Z16+Nogales!Z16+Olmue!Z16+Papudo!Z16+Petorca!Z16+Puchuncavi!Z16+Quillota!Z16+Quilpue!Z16+Quintero!Z16+'Villa Alemana'!Z16+'Viña del Mar'!Z16+Zapallar!Z16</f>
        <v>6069473503</v>
      </c>
      <c r="AA16" s="209">
        <f>+Cabildo!AA16+'La Calera'!AA16+Concón!AA16+Hijuelas!AA16+'La Cruz'!AA16+'La Ligua'!AA16+Nogales!AA16+Olmue!AA16+Papudo!AA16+Petorca!AA16+Puchuncavi!AA16+Quillota!AA16+Quilpue!AA16+Quintero!AA16+'Villa Alemana'!AA16+'Viña del Mar'!AA16+Zapallar!AA16</f>
        <v>6069473503</v>
      </c>
      <c r="AB16" s="209">
        <f>+Cabildo!AB16+'La Calera'!AB16+Concón!AB16+Hijuelas!AB16+'La Cruz'!AB16+'La Ligua'!AB16+Nogales!AB16+Olmue!AB16+Papudo!AB16+Petorca!AB16+Puchuncavi!AB16+Quillota!AB16+Quilpue!AB16+Quintero!AB16+'Villa Alemana'!AB16+'Viña del Mar'!AB16+Zapallar!AB16</f>
        <v>6069473503</v>
      </c>
      <c r="AC16" s="209">
        <f>+Cabildo!AC16+'La Calera'!AC16+Concón!AC16+Hijuelas!AC16+'La Cruz'!AC16+'La Ligua'!AC16+Nogales!AC16+Olmue!AC16+Papudo!AC16+Petorca!AC16+Puchuncavi!AC16+Quillota!AC16+Quilpue!AC16+Quintero!AC16+'Villa Alemana'!AC16+'Viña del Mar'!AC16+Zapallar!AC16</f>
        <v>6069473503</v>
      </c>
      <c r="AD16" s="209">
        <f>+Cabildo!AD16+'La Calera'!AD16+Concón!AD16+Hijuelas!AD16+'La Cruz'!AD16+'La Ligua'!AD16+Nogales!AD16+Olmue!AD16+Papudo!AD16+Petorca!AD16+Puchuncavi!AD16+Quillota!AD16+Quilpue!AD16+Quintero!AD16+'Villa Alemana'!AD16+'Viña del Mar'!AD16+Zapallar!AD16</f>
        <v>6069473503</v>
      </c>
      <c r="AE16" s="209">
        <f>+Cabildo!AE16+'La Calera'!AE16+Concón!AE16+Hijuelas!AE16+'La Cruz'!AE16+'La Ligua'!AE16+Nogales!AE16+Olmue!AE16+Papudo!AE16+Petorca!AE16+Puchuncavi!AE16+Quillota!AE16+Quilpue!AE16+Quintero!AE16+'Villa Alemana'!AE16+'Viña del Mar'!AE16+Zapallar!AE16</f>
        <v>6069473503</v>
      </c>
      <c r="AF16" s="218">
        <f>+Cabildo!AF16+'La Calera'!AF16+Concón!AF16+Hijuelas!AF16+'La Cruz'!AF16+'La Ligua'!AF16+Nogales!AF16+Olmue!AF16+Papudo!AF16+Petorca!AF16+Puchuncavi!AF16+Quillota!AF16+Quilpue!AF16+Quintero!AF16+'Villa Alemana'!AF16+'Viña del Mar'!AF16+Zapallar!AF16</f>
        <v>6069473503</v>
      </c>
      <c r="AG16" s="290">
        <f>SUM(U16:AF16)</f>
        <v>72833682036</v>
      </c>
      <c r="AH16" s="123">
        <f>+H16-AG16</f>
        <v>0</v>
      </c>
    </row>
    <row r="17" spans="1:34" ht="15.75" thickBot="1">
      <c r="A17" s="11">
        <v>2</v>
      </c>
      <c r="B17" s="7" t="s">
        <v>27</v>
      </c>
      <c r="C17" s="147" t="s">
        <v>29</v>
      </c>
      <c r="D17" s="21">
        <f>+Cabildo!D17+'La Calera'!D17+Concón!D17+Hijuelas!D17+'La Cruz'!D17+'La Ligua'!D17+Nogales!D17+Olmue!D17+Papudo!D17+Petorca!D17+Puchuncavi!D17+Quillota!D17+Quilpue!D17+Quintero!D17+'Villa Alemana'!D17+'Viña del Mar'!D17+Zapallar!D17</f>
        <v>932734176</v>
      </c>
      <c r="E17" s="15"/>
      <c r="F17" s="14"/>
      <c r="G17" s="16"/>
      <c r="H17" s="322">
        <f t="shared" ref="H17:H30" si="0">SUM(I17:T17)</f>
        <v>932734176</v>
      </c>
      <c r="I17" s="250">
        <f>+Cabildo!I17+'La Calera'!I17+Concón!I17+Hijuelas!I17+'La Cruz'!I17+'La Ligua'!I17+Nogales!I17+Olmue!I17+Papudo!I17+Petorca!I17+Puchuncavi!I17+Quillota!I17+Quilpue!I17+Quintero!I17+'Villa Alemana'!I17+'Viña del Mar'!I17+Zapallar!I17</f>
        <v>77727848</v>
      </c>
      <c r="J17" s="250">
        <f>+Cabildo!J17+'La Calera'!J17+Concón!J17+Hijuelas!J17+'La Cruz'!J17+'La Ligua'!J17+Nogales!J17+Olmue!J17+Papudo!J17+Petorca!J17+Puchuncavi!J17+Quillota!J17+Quilpue!J17+Quintero!J17+'Villa Alemana'!J17+'Viña del Mar'!J17+Zapallar!J17</f>
        <v>77727848</v>
      </c>
      <c r="K17" s="250">
        <f>+Cabildo!K17+'La Calera'!K17+Concón!K17+Hijuelas!K17+'La Cruz'!K17+'La Ligua'!K17+Nogales!K17+Olmue!K17+Papudo!K17+Petorca!K17+Puchuncavi!K17+Quillota!K17+Quilpue!K17+Quintero!K17+'Villa Alemana'!K17+'Viña del Mar'!K17+Zapallar!K17</f>
        <v>77727848</v>
      </c>
      <c r="L17" s="250">
        <f>+Cabildo!L17+'La Calera'!L17+Concón!L17+Hijuelas!L17+'La Cruz'!L17+'La Ligua'!L17+Nogales!L17+Olmue!L17+Papudo!L17+Petorca!L17+Puchuncavi!L17+Quillota!L17+Quilpue!L17+Quintero!L17+'Villa Alemana'!L17+'Viña del Mar'!L17+Zapallar!L17</f>
        <v>77727848</v>
      </c>
      <c r="M17" s="250">
        <f>+Cabildo!M17+'La Calera'!M17+Concón!M17+Hijuelas!M17+'La Cruz'!M17+'La Ligua'!M17+Nogales!M17+Olmue!M17+Papudo!M17+Petorca!M17+Puchuncavi!M17+Quillota!M17+Quilpue!M17+Quintero!M17+'Villa Alemana'!M17+'Viña del Mar'!M17+Zapallar!M17</f>
        <v>77727848</v>
      </c>
      <c r="N17" s="250">
        <f>+Cabildo!N17+'La Calera'!N17+Concón!N17+Hijuelas!N17+'La Cruz'!N17+'La Ligua'!N17+Nogales!N17+Olmue!N17+Papudo!N17+Petorca!N17+Puchuncavi!N17+Quillota!N17+Quilpue!N17+Quintero!N17+'Villa Alemana'!N17+'Viña del Mar'!N17+Zapallar!N17</f>
        <v>77727848</v>
      </c>
      <c r="O17" s="250">
        <f>+Cabildo!O17+'La Calera'!O17+Concón!O17+Hijuelas!O17+'La Cruz'!O17+'La Ligua'!O17+Nogales!O17+Olmue!O17+Papudo!O17+Petorca!O17+Puchuncavi!O17+Quillota!O17+Quilpue!O17+Quintero!O17+'Villa Alemana'!O17+'Viña del Mar'!O17+Zapallar!O17</f>
        <v>77727848</v>
      </c>
      <c r="P17" s="250">
        <f>+Cabildo!P17+'La Calera'!P17+Concón!P17+Hijuelas!P17+'La Cruz'!P17+'La Ligua'!P17+Nogales!P17+Olmue!P17+Papudo!P17+Petorca!P17+Puchuncavi!P17+Quillota!P17+Quilpue!P17+Quintero!P17+'Villa Alemana'!P17+'Viña del Mar'!P17+Zapallar!P17</f>
        <v>77727848</v>
      </c>
      <c r="Q17" s="250">
        <f>+Cabildo!Q17+'La Calera'!Q17+Concón!Q17+Hijuelas!Q17+'La Cruz'!Q17+'La Ligua'!Q17+Nogales!Q17+Olmue!Q17+Papudo!Q17+Petorca!Q17+Puchuncavi!Q17+Quillota!Q17+Quilpue!Q17+Quintero!Q17+'Villa Alemana'!Q17+'Viña del Mar'!Q17+Zapallar!Q17</f>
        <v>77727848</v>
      </c>
      <c r="R17" s="250">
        <f>+Cabildo!R17+'La Calera'!R17+Concón!R17+Hijuelas!R17+'La Cruz'!R17+'La Ligua'!R17+Nogales!R17+Olmue!R17+Papudo!R17+Petorca!R17+Puchuncavi!R17+Quillota!R17+Quilpue!R17+Quintero!R17+'Villa Alemana'!R17+'Viña del Mar'!R17+Zapallar!R17</f>
        <v>77727848</v>
      </c>
      <c r="S17" s="250">
        <f>+Cabildo!S17+'La Calera'!S17+Concón!S17+Hijuelas!S17+'La Cruz'!S17+'La Ligua'!S17+Nogales!S17+Olmue!S17+Papudo!S17+Petorca!S17+Puchuncavi!S17+Quillota!S17+Quilpue!S17+Quintero!S17+'Villa Alemana'!S17+'Viña del Mar'!S17+Zapallar!S17</f>
        <v>77727848</v>
      </c>
      <c r="T17" s="514">
        <f>+Cabildo!T17+'La Calera'!T17+Concón!T17+Hijuelas!T17+'La Cruz'!T17+'La Ligua'!T17+Nogales!T17+Olmue!T17+Papudo!T17+Petorca!T17+Puchuncavi!T17+Quillota!T17+Quilpue!T17+Quintero!T17+'Villa Alemana'!T17+'Viña del Mar'!T17+Zapallar!T17</f>
        <v>77727848</v>
      </c>
      <c r="U17" s="235">
        <f>+Cabildo!U17+'La Calera'!U17+Concón!U17+Hijuelas!U17+'La Cruz'!U17+'La Ligua'!U17+Nogales!U17+Olmue!U17+Papudo!U17+Petorca!U17+Puchuncavi!U17+Quillota!U17+Quilpue!U17+Quintero!U17+'Villa Alemana'!U17+'Viña del Mar'!U17+Zapallar!U17</f>
        <v>77727848</v>
      </c>
      <c r="V17" s="206">
        <f>+Cabildo!V17+'La Calera'!V17+Concón!V17+Hijuelas!V17+'La Cruz'!V17+'La Ligua'!V17+Nogales!V17+Olmue!V17+Papudo!V17+Petorca!V17+Puchuncavi!V17+Quillota!V17+Quilpue!V17+Quintero!V17+'Villa Alemana'!V17+'Viña del Mar'!V17+Zapallar!V17</f>
        <v>77727848</v>
      </c>
      <c r="W17" s="206">
        <f>+Cabildo!W17+'La Calera'!W17+Concón!W17+Hijuelas!W17+'La Cruz'!W17+'La Ligua'!W17+Nogales!W17+Olmue!W17+Papudo!W17+Petorca!W17+Puchuncavi!W17+Quillota!W17+Quilpue!W17+Quintero!W17+'Villa Alemana'!W17+'Viña del Mar'!W17+Zapallar!W17</f>
        <v>77727848</v>
      </c>
      <c r="X17" s="206">
        <f>+Cabildo!X17+'La Calera'!X17+Concón!X17+Hijuelas!X17+'La Cruz'!X17+'La Ligua'!X17+Nogales!X17+Olmue!X17+Papudo!X17+Petorca!X17+Puchuncavi!X17+Quillota!X17+Quilpue!X17+Quintero!X17+'Villa Alemana'!X17+'Viña del Mar'!X17+Zapallar!X17</f>
        <v>77727848</v>
      </c>
      <c r="Y17" s="206">
        <f>+Cabildo!Y17+'La Calera'!Y17+Concón!Y17+Hijuelas!Y17+'La Cruz'!Y17+'La Ligua'!Y17+Nogales!Y17+Olmue!Y17+Papudo!Y17+Petorca!Y17+Puchuncavi!Y17+Quillota!Y17+Quilpue!Y17+Quintero!Y17+'Villa Alemana'!Y17+'Viña del Mar'!Y17+Zapallar!Y17</f>
        <v>77727848</v>
      </c>
      <c r="Z17" s="206">
        <f>+Cabildo!Z17+'La Calera'!Z17+Concón!Z17+Hijuelas!Z17+'La Cruz'!Z17+'La Ligua'!Z17+Nogales!Z17+Olmue!Z17+Papudo!Z17+Petorca!Z17+Puchuncavi!Z17+Quillota!Z17+Quilpue!Z17+Quintero!Z17+'Villa Alemana'!Z17+'Viña del Mar'!Z17+Zapallar!Z17</f>
        <v>77727848</v>
      </c>
      <c r="AA17" s="206">
        <f>+Cabildo!AA17+'La Calera'!AA17+Concón!AA17+Hijuelas!AA17+'La Cruz'!AA17+'La Ligua'!AA17+Nogales!AA17+Olmue!AA17+Papudo!AA17+Petorca!AA17+Puchuncavi!AA17+Quillota!AA17+Quilpue!AA17+Quintero!AA17+'Villa Alemana'!AA17+'Viña del Mar'!AA17+Zapallar!AA17</f>
        <v>77727848</v>
      </c>
      <c r="AB17" s="206">
        <f>+Cabildo!AB17+'La Calera'!AB17+Concón!AB17+Hijuelas!AB17+'La Cruz'!AB17+'La Ligua'!AB17+Nogales!AB17+Olmue!AB17+Papudo!AB17+Petorca!AB17+Puchuncavi!AB17+Quillota!AB17+Quilpue!AB17+Quintero!AB17+'Villa Alemana'!AB17+'Viña del Mar'!AB17+Zapallar!AB17</f>
        <v>77727848</v>
      </c>
      <c r="AC17" s="206">
        <f>+Cabildo!AC17+'La Calera'!AC17+Concón!AC17+Hijuelas!AC17+'La Cruz'!AC17+'La Ligua'!AC17+Nogales!AC17+Olmue!AC17+Papudo!AC17+Petorca!AC17+Puchuncavi!AC17+Quillota!AC17+Quilpue!AC17+Quintero!AC17+'Villa Alemana'!AC17+'Viña del Mar'!AC17+Zapallar!AC17</f>
        <v>77727848</v>
      </c>
      <c r="AD17" s="206">
        <f>+Cabildo!AD17+'La Calera'!AD17+Concón!AD17+Hijuelas!AD17+'La Cruz'!AD17+'La Ligua'!AD17+Nogales!AD17+Olmue!AD17+Papudo!AD17+Petorca!AD17+Puchuncavi!AD17+Quillota!AD17+Quilpue!AD17+Quintero!AD17+'Villa Alemana'!AD17+'Viña del Mar'!AD17+Zapallar!AD17</f>
        <v>77727848</v>
      </c>
      <c r="AE17" s="206">
        <f>+Cabildo!AE17+'La Calera'!AE17+Concón!AE17+Hijuelas!AE17+'La Cruz'!AE17+'La Ligua'!AE17+Nogales!AE17+Olmue!AE17+Papudo!AE17+Petorca!AE17+Puchuncavi!AE17+Quillota!AE17+Quilpue!AE17+Quintero!AE17+'Villa Alemana'!AE17+'Viña del Mar'!AE17+Zapallar!AE17</f>
        <v>77727848</v>
      </c>
      <c r="AF17" s="221">
        <f>+Cabildo!AF17+'La Calera'!AF17+Concón!AF17+Hijuelas!AF17+'La Cruz'!AF17+'La Ligua'!AF17+Nogales!AF17+Olmue!AF17+Papudo!AF17+Petorca!AF17+Puchuncavi!AF17+Quillota!AF17+Quilpue!AF17+Quintero!AF17+'Villa Alemana'!AF17+'Viña del Mar'!AF17+Zapallar!AF17</f>
        <v>77727848</v>
      </c>
      <c r="AG17" s="291">
        <f t="shared" ref="AG17:AG30" si="1">SUM(U17:AF17)</f>
        <v>932734176</v>
      </c>
      <c r="AH17" s="123">
        <f t="shared" ref="AH17:AH30" si="2">+H17-AG17</f>
        <v>0</v>
      </c>
    </row>
    <row r="18" spans="1:34" ht="15.75" thickBot="1">
      <c r="A18" s="11">
        <v>3</v>
      </c>
      <c r="B18" s="7" t="s">
        <v>28</v>
      </c>
      <c r="C18" s="147" t="s">
        <v>29</v>
      </c>
      <c r="D18" s="21">
        <f>+Cabildo!D18+'La Calera'!D18+Concón!D18+Hijuelas!D18+'La Cruz'!D18+'La Ligua'!D18+Nogales!D18+Olmue!D18+Papudo!D18+Petorca!D18+Puchuncavi!D18+Quillota!D18+Quilpue!D18+Quintero!D18+'Villa Alemana'!D18+'Viña del Mar'!D18+Zapallar!D18</f>
        <v>-57320952</v>
      </c>
      <c r="E18" s="15"/>
      <c r="F18" s="14"/>
      <c r="G18" s="16"/>
      <c r="H18" s="322">
        <f t="shared" si="0"/>
        <v>-56542448</v>
      </c>
      <c r="I18" s="250">
        <f>+Cabildo!I18+'La Calera'!I18+Concón!I18+Hijuelas!I18+'La Cruz'!I18+'La Ligua'!I18+Nogales!I18+Olmue!I18+Papudo!I18+Petorca!I18+Puchuncavi!I18+Quillota!I18+Quilpue!I18+Quintero!I18+'Villa Alemana'!I18+'Viña del Mar'!I18+Zapallar!I18</f>
        <v>-4776746</v>
      </c>
      <c r="J18" s="250">
        <f>+Cabildo!J18+'La Calera'!J18+Concón!J18+Hijuelas!J18+'La Cruz'!J18+'La Ligua'!J18+Nogales!J18+Olmue!J18+Papudo!J18+Petorca!J18+Puchuncavi!J18+Quillota!J18+Quilpue!J18+Quintero!J18+'Villa Alemana'!J18+'Viña del Mar'!J18+Zapallar!J18</f>
        <v>-4776746</v>
      </c>
      <c r="K18" s="250">
        <f>+Cabildo!K18+'La Calera'!K18+Concón!K18+Hijuelas!K18+'La Cruz'!K18+'La Ligua'!K18+Nogales!K18+Olmue!K18+Papudo!K18+Petorca!K18+Puchuncavi!K18+Quillota!K18+Quilpue!K18+Quintero!K18+'Villa Alemana'!K18+'Viña del Mar'!K18+Zapallar!K18</f>
        <v>-4776746</v>
      </c>
      <c r="L18" s="250">
        <f>+Cabildo!L18+'La Calera'!L18+Concón!L18+Hijuelas!L18+'La Cruz'!L18+'La Ligua'!L18+Nogales!L18+Olmue!L18+Papudo!L18+Petorca!L18+Puchuncavi!L18+Quillota!L18+Quilpue!L18+Quintero!L18+'Villa Alemana'!L18+'Viña del Mar'!L18+Zapallar!L18</f>
        <v>-4776746</v>
      </c>
      <c r="M18" s="250">
        <f>+Cabildo!M18+'La Calera'!M18+Concón!M18+Hijuelas!M18+'La Cruz'!M18+'La Ligua'!M18+Nogales!M18+Olmue!M18+Papudo!M18+Petorca!M18+Puchuncavi!M18+Quillota!M18+Quilpue!M18+Quintero!M18+'Villa Alemana'!M18+'Viña del Mar'!M18+Zapallar!M18</f>
        <v>-4679433</v>
      </c>
      <c r="N18" s="250">
        <f>+Cabildo!N18+'La Calera'!N18+Concón!N18+Hijuelas!N18+'La Cruz'!N18+'La Ligua'!N18+Nogales!N18+Olmue!N18+Papudo!N18+Petorca!N18+Puchuncavi!N18+Quillota!N18+Quilpue!N18+Quintero!N18+'Villa Alemana'!N18+'Viña del Mar'!N18+Zapallar!N18</f>
        <v>-4679433</v>
      </c>
      <c r="O18" s="250">
        <f>+Cabildo!O18+'La Calera'!O18+Concón!O18+Hijuelas!O18+'La Cruz'!O18+'La Ligua'!O18+Nogales!O18+Olmue!O18+Papudo!O18+Petorca!O18+Puchuncavi!O18+Quillota!O18+Quilpue!O18+Quintero!O18+'Villa Alemana'!O18+'Viña del Mar'!O18+Zapallar!O18</f>
        <v>-4679433</v>
      </c>
      <c r="P18" s="250">
        <f>+Cabildo!P18+'La Calera'!P18+Concón!P18+Hijuelas!P18+'La Cruz'!P18+'La Ligua'!P18+Nogales!P18+Olmue!P18+Papudo!P18+Petorca!P18+Puchuncavi!P18+Quillota!P18+Quilpue!P18+Quintero!P18+'Villa Alemana'!P18+'Viña del Mar'!P18+Zapallar!P18</f>
        <v>-4679433</v>
      </c>
      <c r="Q18" s="250">
        <f>+Cabildo!Q18+'La Calera'!Q18+Concón!Q18+Hijuelas!Q18+'La Cruz'!Q18+'La Ligua'!Q18+Nogales!Q18+Olmue!Q18+Papudo!Q18+Petorca!Q18+Puchuncavi!Q18+Quillota!Q18+Quilpue!Q18+Quintero!Q18+'Villa Alemana'!Q18+'Viña del Mar'!Q18+Zapallar!Q18</f>
        <v>-4679433</v>
      </c>
      <c r="R18" s="250">
        <f>+Cabildo!R18+'La Calera'!R18+Concón!R18+Hijuelas!R18+'La Cruz'!R18+'La Ligua'!R18+Nogales!R18+Olmue!R18+Papudo!R18+Petorca!R18+Puchuncavi!R18+Quillota!R18+Quilpue!R18+Quintero!R18+'Villa Alemana'!R18+'Viña del Mar'!R18+Zapallar!R18</f>
        <v>-4679433</v>
      </c>
      <c r="S18" s="250">
        <f>+Cabildo!S18+'La Calera'!S18+Concón!S18+Hijuelas!S18+'La Cruz'!S18+'La Ligua'!S18+Nogales!S18+Olmue!S18+Papudo!S18+Petorca!S18+Puchuncavi!S18+Quillota!S18+Quilpue!S18+Quintero!S18+'Villa Alemana'!S18+'Viña del Mar'!S18+Zapallar!S18</f>
        <v>-4679433</v>
      </c>
      <c r="T18" s="514">
        <f>+Cabildo!T18+'La Calera'!T18+Concón!T18+Hijuelas!T18+'La Cruz'!T18+'La Ligua'!T18+Nogales!T18+Olmue!T18+Papudo!T18+Petorca!T18+Puchuncavi!T18+Quillota!T18+Quilpue!T18+Quintero!T18+'Villa Alemana'!T18+'Viña del Mar'!T18+Zapallar!T18</f>
        <v>-4679433</v>
      </c>
      <c r="U18" s="235">
        <f>+Cabildo!U18+'La Calera'!U18+Concón!U18+Hijuelas!U18+'La Cruz'!U18+'La Ligua'!U18+Nogales!U18+Olmue!U18+Papudo!U18+Petorca!U18+Puchuncavi!U18+Quillota!U18+Quilpue!U18+Quintero!U18+'Villa Alemana'!U18+'Viña del Mar'!U18+Zapallar!U18</f>
        <v>-4776746</v>
      </c>
      <c r="V18" s="206">
        <f>+Cabildo!V18+'La Calera'!V18+Concón!V18+Hijuelas!V18+'La Cruz'!V18+'La Ligua'!V18+Nogales!V18+Olmue!V18+Papudo!V18+Petorca!V18+Puchuncavi!V18+Quillota!V18+Quilpue!V18+Quintero!V18+'Villa Alemana'!V18+'Viña del Mar'!V18+Zapallar!V18</f>
        <v>-4776746</v>
      </c>
      <c r="W18" s="206">
        <f>+Cabildo!W18+'La Calera'!W18+Concón!W18+Hijuelas!W18+'La Cruz'!W18+'La Ligua'!W18+Nogales!W18+Olmue!W18+Papudo!W18+Petorca!W18+Puchuncavi!W18+Quillota!W18+Quilpue!W18+Quintero!W18+'Villa Alemana'!W18+'Viña del Mar'!W18+Zapallar!W18</f>
        <v>-4776746</v>
      </c>
      <c r="X18" s="206">
        <f>+Cabildo!X18+'La Calera'!X18+Concón!X18+Hijuelas!X18+'La Cruz'!X18+'La Ligua'!X18+Nogales!X18+Olmue!X18+Papudo!X18+Petorca!X18+Puchuncavi!X18+Quillota!X18+Quilpue!X18+Quintero!X18+'Villa Alemana'!X18+'Viña del Mar'!X18+Zapallar!X18</f>
        <v>-4776746</v>
      </c>
      <c r="Y18" s="206">
        <f>+Cabildo!Y18+'La Calera'!Y18+Concón!Y18+Hijuelas!Y18+'La Cruz'!Y18+'La Ligua'!Y18+Nogales!Y18+Olmue!Y18+Papudo!Y18+Petorca!Y18+Puchuncavi!Y18+Quillota!Y18+Quilpue!Y18+Quintero!Y18+'Villa Alemana'!Y18+'Viña del Mar'!Y18+Zapallar!Y18</f>
        <v>-4679433</v>
      </c>
      <c r="Z18" s="206">
        <f>+Cabildo!Z18+'La Calera'!Z18+Concón!Z18+Hijuelas!Z18+'La Cruz'!Z18+'La Ligua'!Z18+Nogales!Z18+Olmue!Z18+Papudo!Z18+Petorca!Z18+Puchuncavi!Z18+Quillota!Z18+Quilpue!Z18+Quintero!Z18+'Villa Alemana'!Z18+'Viña del Mar'!Z18+Zapallar!Z18</f>
        <v>-4679433</v>
      </c>
      <c r="AA18" s="206">
        <f>+Cabildo!AA18+'La Calera'!AA18+Concón!AA18+Hijuelas!AA18+'La Cruz'!AA18+'La Ligua'!AA18+Nogales!AA18+Olmue!AA18+Papudo!AA18+Petorca!AA18+Puchuncavi!AA18+Quillota!AA18+Quilpue!AA18+Quintero!AA18+'Villa Alemana'!AA18+'Viña del Mar'!AA18+Zapallar!AA18</f>
        <v>-4679433</v>
      </c>
      <c r="AB18" s="206">
        <f>+Cabildo!AB18+'La Calera'!AB18+Concón!AB18+Hijuelas!AB18+'La Cruz'!AB18+'La Ligua'!AB18+Nogales!AB18+Olmue!AB18+Papudo!AB18+Petorca!AB18+Puchuncavi!AB18+Quillota!AB18+Quilpue!AB18+Quintero!AB18+'Villa Alemana'!AB18+'Viña del Mar'!AB18+Zapallar!AB18</f>
        <v>-4679433</v>
      </c>
      <c r="AC18" s="206">
        <f>+Cabildo!AC18+'La Calera'!AC18+Concón!AC18+Hijuelas!AC18+'La Cruz'!AC18+'La Ligua'!AC18+Nogales!AC18+Olmue!AC18+Papudo!AC18+Petorca!AC18+Puchuncavi!AC18+Quillota!AC18+Quilpue!AC18+Quintero!AC18+'Villa Alemana'!AC18+'Viña del Mar'!AC18+Zapallar!AC18</f>
        <v>-4679433</v>
      </c>
      <c r="AD18" s="206">
        <f>+Cabildo!AD18+'La Calera'!AD18+Concón!AD18+Hijuelas!AD18+'La Cruz'!AD18+'La Ligua'!AD18+Nogales!AD18+Olmue!AD18+Papudo!AD18+Petorca!AD18+Puchuncavi!AD18+Quillota!AD18+Quilpue!AD18+Quintero!AD18+'Villa Alemana'!AD18+'Viña del Mar'!AD18+Zapallar!AD18</f>
        <v>-4679433</v>
      </c>
      <c r="AE18" s="206">
        <f>+Cabildo!AE18+'La Calera'!AE18+Concón!AE18+Hijuelas!AE18+'La Cruz'!AE18+'La Ligua'!AE18+Nogales!AE18+Olmue!AE18+Papudo!AE18+Petorca!AE18+Puchuncavi!AE18+Quillota!AE18+Quilpue!AE18+Quintero!AE18+'Villa Alemana'!AE18+'Viña del Mar'!AE18+Zapallar!AE18</f>
        <v>-4679433</v>
      </c>
      <c r="AF18" s="221">
        <f>+Cabildo!AF18+'La Calera'!AF18+Concón!AF18+Hijuelas!AF18+'La Cruz'!AF18+'La Ligua'!AF18+Nogales!AF18+Olmue!AF18+Papudo!AF18+Petorca!AF18+Puchuncavi!AF18+Quillota!AF18+Quilpue!AF18+Quintero!AF18+'Villa Alemana'!AF18+'Viña del Mar'!AF18+Zapallar!AF18</f>
        <v>-4679433</v>
      </c>
      <c r="AG18" s="291">
        <f t="shared" si="1"/>
        <v>-56542448</v>
      </c>
      <c r="AH18" s="123">
        <f t="shared" si="2"/>
        <v>0</v>
      </c>
    </row>
    <row r="19" spans="1:34" ht="15.75" thickBot="1">
      <c r="A19" s="11">
        <v>4</v>
      </c>
      <c r="B19" s="7" t="s">
        <v>30</v>
      </c>
      <c r="C19" s="147" t="s">
        <v>29</v>
      </c>
      <c r="D19" s="21">
        <f>+Cabildo!D19+'La Calera'!D19+Concón!D19+Hijuelas!D19+'La Cruz'!D19+'La Ligua'!D19+Nogales!D19+Olmue!D19+Papudo!D19+Petorca!D19+Puchuncavi!D19+Quillota!D19+Quilpue!D19+Quintero!D19+'Villa Alemana'!D19+'Viña del Mar'!D19+Zapallar!D19</f>
        <v>-447041530</v>
      </c>
      <c r="E19" s="15"/>
      <c r="F19" s="14"/>
      <c r="G19" s="16"/>
      <c r="H19" s="322">
        <f t="shared" si="0"/>
        <v>-488794346</v>
      </c>
      <c r="I19" s="250">
        <f>+Cabildo!I19+'La Calera'!I19+Concón!I19+Hijuelas!I19+'La Cruz'!I19+'La Ligua'!I19+Nogales!I19+Olmue!I19+Papudo!I19+Petorca!I19+Puchuncavi!I19+Quillota!I19+Quilpue!I19+Quintero!I19+'Villa Alemana'!I19+'Viña del Mar'!I19+Zapallar!I19</f>
        <v>-36395976</v>
      </c>
      <c r="J19" s="250">
        <f>+Cabildo!J19+'La Calera'!J19+Concón!J19+Hijuelas!J19+'La Cruz'!J19+'La Ligua'!J19+Nogales!J19+Olmue!J19+Papudo!J19+Petorca!J19+Puchuncavi!J19+Quillota!J19+Quilpue!J19+Quintero!J19+'Villa Alemana'!J19+'Viña del Mar'!J19+Zapallar!J19</f>
        <v>-37272783</v>
      </c>
      <c r="K19" s="250">
        <f>+Cabildo!K19+'La Calera'!K19+Concón!K19+Hijuelas!K19+'La Cruz'!K19+'La Ligua'!K19+Nogales!K19+Olmue!K19+Papudo!K19+Petorca!K19+Puchuncavi!K19+Quillota!K19+Quilpue!K19+Quintero!K19+'Villa Alemana'!K19+'Viña del Mar'!K19+Zapallar!K19</f>
        <v>-36834379</v>
      </c>
      <c r="L19" s="250">
        <f>+Cabildo!L19+'La Calera'!L19+Concón!L19+Hijuelas!L19+'La Cruz'!L19+'La Ligua'!L19+Nogales!L19+Olmue!L19+Papudo!L19+Petorca!L19+Puchuncavi!L19+Quillota!L19+Quilpue!L19+Quintero!L19+'Villa Alemana'!L19+'Viña del Mar'!L19+Zapallar!L19</f>
        <v>-36834379</v>
      </c>
      <c r="M19" s="250">
        <f>+Cabildo!M19+'La Calera'!M19+Concón!M19+Hijuelas!M19+'La Cruz'!M19+'La Ligua'!M19+Nogales!M19+Olmue!M19+Papudo!M19+Petorca!M19+Puchuncavi!M19+Quillota!M19+Quilpue!M19+Quintero!M19+'Villa Alemana'!M19+'Viña del Mar'!M19+Zapallar!M19</f>
        <v>-36834379</v>
      </c>
      <c r="N19" s="250">
        <f>+Cabildo!N19+'La Calera'!N19+Concón!N19+Hijuelas!N19+'La Cruz'!N19+'La Ligua'!N19+Nogales!N19+Olmue!N19+Papudo!N19+Petorca!N19+Puchuncavi!N19+Quillota!N19+Quilpue!N19+Quintero!N19+'Villa Alemana'!N19+'Viña del Mar'!N19+Zapallar!N19</f>
        <v>-36834379</v>
      </c>
      <c r="O19" s="250">
        <f>+Cabildo!O19+'La Calera'!O19+Concón!O19+Hijuelas!O19+'La Cruz'!O19+'La Ligua'!O19+Nogales!O19+Olmue!O19+Papudo!O19+Petorca!O19+Puchuncavi!O19+Quillota!O19+Quilpue!O19+Quintero!O19+'Villa Alemana'!O19+'Viña del Mar'!O19+Zapallar!O19</f>
        <v>-36834379</v>
      </c>
      <c r="P19" s="250">
        <f>+Cabildo!P19+'La Calera'!P19+Concón!P19+Hijuelas!P19+'La Cruz'!P19+'La Ligua'!P19+Nogales!P19+Olmue!P19+Papudo!P19+Petorca!P19+Puchuncavi!P19+Quillota!P19+Quilpue!P19+Quintero!P19+'Villa Alemana'!P19+'Viña del Mar'!P19+Zapallar!P19</f>
        <v>-42677841</v>
      </c>
      <c r="Q19" s="250">
        <f>+Cabildo!Q19+'La Calera'!Q19+Concón!Q19+Hijuelas!Q19+'La Cruz'!Q19+'La Ligua'!Q19+Nogales!Q19+Olmue!Q19+Papudo!Q19+Petorca!Q19+Puchuncavi!Q19+Quillota!Q19+Quilpue!Q19+Quintero!Q19+'Villa Alemana'!Q19+'Viña del Mar'!Q19+Zapallar!Q19</f>
        <v>-42677841</v>
      </c>
      <c r="R19" s="250">
        <f>+Cabildo!R19+'La Calera'!R19+Concón!R19+Hijuelas!R19+'La Cruz'!R19+'La Ligua'!R19+Nogales!R19+Olmue!R19+Papudo!R19+Petorca!R19+Puchuncavi!R19+Quillota!R19+Quilpue!R19+Quintero!R19+'Villa Alemana'!R19+'Viña del Mar'!R19+Zapallar!R19</f>
        <v>-48310008</v>
      </c>
      <c r="S19" s="250">
        <f>+Cabildo!S19+'La Calera'!S19+Concón!S19+Hijuelas!S19+'La Cruz'!S19+'La Ligua'!S19+Nogales!S19+Olmue!S19+Papudo!S19+Petorca!S19+Puchuncavi!S19+Quillota!S19+Quilpue!S19+Quintero!S19+'Villa Alemana'!S19+'Viña del Mar'!S19+Zapallar!S19</f>
        <v>-48977994</v>
      </c>
      <c r="T19" s="514">
        <f>+Cabildo!T19+'La Calera'!T19+Concón!T19+Hijuelas!T19+'La Cruz'!T19+'La Ligua'!T19+Nogales!T19+Olmue!T19+Papudo!T19+Petorca!T19+Puchuncavi!T19+Quillota!T19+Quilpue!T19+Quintero!T19+'Villa Alemana'!T19+'Viña del Mar'!T19+Zapallar!T19</f>
        <v>-48310008</v>
      </c>
      <c r="U19" s="235">
        <f>+Cabildo!U19+'La Calera'!U19+Concón!U19+Hijuelas!U19+'La Cruz'!U19+'La Ligua'!U19+Nogales!U19+Olmue!U19+Papudo!U19+Petorca!U19+Puchuncavi!U19+Quillota!U19+Quilpue!U19+Quintero!U19+'Villa Alemana'!U19+'Viña del Mar'!U19+Zapallar!U19</f>
        <v>-36395976</v>
      </c>
      <c r="V19" s="206">
        <f>+Cabildo!V19+'La Calera'!V19+Concón!V19+Hijuelas!V19+'La Cruz'!V19+'La Ligua'!V19+Nogales!V19+Olmue!V19+Papudo!V19+Petorca!V19+Puchuncavi!V19+Quillota!V19+Quilpue!V19+Quintero!V19+'Villa Alemana'!V19+'Viña del Mar'!V19+Zapallar!V19</f>
        <v>-37272783</v>
      </c>
      <c r="W19" s="206">
        <f>+Cabildo!W19+'La Calera'!W19+Concón!W19+Hijuelas!W19+'La Cruz'!W19+'La Ligua'!W19+Nogales!W19+Olmue!W19+Papudo!W19+Petorca!W19+Puchuncavi!W19+Quillota!W19+Quilpue!W19+Quintero!W19+'Villa Alemana'!W19+'Viña del Mar'!W19+Zapallar!W19</f>
        <v>-36834379</v>
      </c>
      <c r="X19" s="206">
        <f>+Cabildo!X19+'La Calera'!X19+Concón!X19+Hijuelas!X19+'La Cruz'!X19+'La Ligua'!X19+Nogales!X19+Olmue!X19+Papudo!X19+Petorca!X19+Puchuncavi!X19+Quillota!X19+Quilpue!X19+Quintero!X19+'Villa Alemana'!X19+'Viña del Mar'!X19+Zapallar!X19</f>
        <v>-36834379</v>
      </c>
      <c r="Y19" s="206">
        <f>+Cabildo!Y19+'La Calera'!Y19+Concón!Y19+Hijuelas!Y19+'La Cruz'!Y19+'La Ligua'!Y19+Nogales!Y19+Olmue!Y19+Papudo!Y19+Petorca!Y19+Puchuncavi!Y19+Quillota!Y19+Quilpue!Y19+Quintero!Y19+'Villa Alemana'!Y19+'Viña del Mar'!Y19+Zapallar!Y19</f>
        <v>-36834379</v>
      </c>
      <c r="Z19" s="206">
        <f>+Cabildo!Z19+'La Calera'!Z19+Concón!Z19+Hijuelas!Z19+'La Cruz'!Z19+'La Ligua'!Z19+Nogales!Z19+Olmue!Z19+Papudo!Z19+Petorca!Z19+Puchuncavi!Z19+Quillota!Z19+Quilpue!Z19+Quintero!Z19+'Villa Alemana'!Z19+'Viña del Mar'!Z19+Zapallar!Z19</f>
        <v>-36834379</v>
      </c>
      <c r="AA19" s="206">
        <f>+Cabildo!AA19+'La Calera'!AA19+Concón!AA19+Hijuelas!AA19+'La Cruz'!AA19+'La Ligua'!AA19+Nogales!AA19+Olmue!AA19+Papudo!AA19+Petorca!AA19+Puchuncavi!AA19+Quillota!AA19+Quilpue!AA19+Quintero!AA19+'Villa Alemana'!AA19+'Viña del Mar'!AA19+Zapallar!AA19</f>
        <v>-36834379</v>
      </c>
      <c r="AB19" s="206">
        <f>+Cabildo!AB19+'La Calera'!AB19+Concón!AB19+Hijuelas!AB19+'La Cruz'!AB19+'La Ligua'!AB19+Nogales!AB19+Olmue!AB19+Papudo!AB19+Petorca!AB19+Puchuncavi!AB19+Quillota!AB19+Quilpue!AB19+Quintero!AB19+'Villa Alemana'!AB19+'Viña del Mar'!AB19+Zapallar!AB19</f>
        <v>-42677841</v>
      </c>
      <c r="AC19" s="206">
        <f>+Cabildo!AC19+'La Calera'!AC19+Concón!AC19+Hijuelas!AC19+'La Cruz'!AC19+'La Ligua'!AC19+Nogales!AC19+Olmue!AC19+Papudo!AC19+Petorca!AC19+Puchuncavi!AC19+Quillota!AC19+Quilpue!AC19+Quintero!AC19+'Villa Alemana'!AC19+'Viña del Mar'!AC19+Zapallar!AC19</f>
        <v>-42677841</v>
      </c>
      <c r="AD19" s="206">
        <f>+Cabildo!AD19+'La Calera'!AD19+Concón!AD19+Hijuelas!AD19+'La Cruz'!AD19+'La Ligua'!AD19+Nogales!AD19+Olmue!AD19+Papudo!AD19+Petorca!AD19+Puchuncavi!AD19+Quillota!AD19+Quilpue!AD19+Quintero!AD19+'Villa Alemana'!AD19+'Viña del Mar'!AD19+Zapallar!AD19</f>
        <v>-48310008</v>
      </c>
      <c r="AE19" s="206">
        <f>+Cabildo!AE19+'La Calera'!AE19+Concón!AE19+Hijuelas!AE19+'La Cruz'!AE19+'La Ligua'!AE19+Nogales!AE19+Olmue!AE19+Papudo!AE19+Petorca!AE19+Puchuncavi!AE19+Quillota!AE19+Quilpue!AE19+Quintero!AE19+'Villa Alemana'!AE19+'Viña del Mar'!AE19+Zapallar!AE19</f>
        <v>-48977994</v>
      </c>
      <c r="AF19" s="221">
        <f>+Cabildo!AF19+'La Calera'!AF19+Concón!AF19+Hijuelas!AF19+'La Cruz'!AF19+'La Ligua'!AF19+Nogales!AF19+Olmue!AF19+Papudo!AF19+Petorca!AF19+Puchuncavi!AF19+Quillota!AF19+Quilpue!AF19+Quintero!AF19+'Villa Alemana'!AF19+'Viña del Mar'!AF19+Zapallar!AF19</f>
        <v>-48310008</v>
      </c>
      <c r="AG19" s="291">
        <f t="shared" si="1"/>
        <v>-488794346</v>
      </c>
      <c r="AH19" s="123">
        <f t="shared" si="2"/>
        <v>0</v>
      </c>
    </row>
    <row r="20" spans="1:34" ht="15.75" customHeight="1" thickBot="1">
      <c r="A20" s="799" t="s">
        <v>273</v>
      </c>
      <c r="B20" s="800"/>
      <c r="C20" s="800"/>
      <c r="D20" s="801"/>
      <c r="E20" s="545"/>
      <c r="F20" s="546"/>
      <c r="G20" s="547"/>
      <c r="H20" s="538">
        <f>SUM(H16:H19)</f>
        <v>73221079418</v>
      </c>
      <c r="I20" s="539"/>
      <c r="J20" s="539"/>
      <c r="K20" s="539"/>
      <c r="L20" s="539"/>
      <c r="M20" s="539"/>
      <c r="N20" s="539"/>
      <c r="O20" s="539">
        <f t="shared" ref="O20:T20" si="3">SUM(O16:O19)</f>
        <v>6105687539</v>
      </c>
      <c r="P20" s="539">
        <f t="shared" si="3"/>
        <v>6099844077</v>
      </c>
      <c r="Q20" s="539">
        <f t="shared" si="3"/>
        <v>6099844077</v>
      </c>
      <c r="R20" s="539">
        <f t="shared" si="3"/>
        <v>6094211910</v>
      </c>
      <c r="S20" s="539">
        <f t="shared" si="3"/>
        <v>6093543924</v>
      </c>
      <c r="T20" s="539">
        <f t="shared" si="3"/>
        <v>6094211910</v>
      </c>
      <c r="U20" s="235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21"/>
      <c r="AG20" s="291"/>
      <c r="AH20" s="123"/>
    </row>
    <row r="21" spans="1:34" ht="30" thickBot="1">
      <c r="A21" s="11">
        <v>5</v>
      </c>
      <c r="B21" s="10" t="s">
        <v>31</v>
      </c>
      <c r="C21" s="147" t="s">
        <v>29</v>
      </c>
      <c r="D21" s="21">
        <f>+Cabildo!D20+'La Calera'!D20+Concón!D20+Hijuelas!D20+'La Cruz'!D20+'La Ligua'!D20+Nogales!D20+Olmue!D20+Papudo!D20+Petorca!D20+Puchuncavi!D20+Quillota!D20+Quilpue!D20+Quintero!D20+'Villa Alemana'!D20+'Viña del Mar'!D20+Zapallar!D20</f>
        <v>579617676</v>
      </c>
      <c r="E21" s="15"/>
      <c r="F21" s="14"/>
      <c r="G21" s="16"/>
      <c r="H21" s="322">
        <f t="shared" si="0"/>
        <v>584002072.88900006</v>
      </c>
      <c r="I21" s="250">
        <f>+Cabildo!I20+'La Calera'!I20+Concón!I20+Hijuelas!I20+'La Cruz'!I20+'La Ligua'!I20+Nogales!I20+Olmue!I20+Papudo!I20+Petorca!I20+Puchuncavi!I20+Quillota!I20+Quilpue!I20+Quintero!I20+'Villa Alemana'!I20+'Viña del Mar'!I20+Zapallar!I20</f>
        <v>48301473</v>
      </c>
      <c r="J21" s="250">
        <f>+Cabildo!J20+'La Calera'!J20+Concón!J20+Hijuelas!J20+'La Cruz'!J20+'La Ligua'!J20+Nogales!J20+Olmue!J20+Papudo!J20+Petorca!J20+Puchuncavi!J20+Quillota!J20+Quilpue!J20+Quintero!J20+'Villa Alemana'!J20+'Viña del Mar'!J20+Zapallar!J20</f>
        <v>48301474</v>
      </c>
      <c r="K21" s="250">
        <f>+Cabildo!K20+'La Calera'!K20+Concón!K20+Hijuelas!K20+'La Cruz'!K20+'La Ligua'!K20+Nogales!K20+Olmue!K20+Papudo!K20+Petorca!K20+Puchuncavi!K20+Quillota!K20+Quilpue!K20+Quintero!K20+'Villa Alemana'!K20+'Viña del Mar'!K20+Zapallar!K20</f>
        <v>48301474</v>
      </c>
      <c r="L21" s="250">
        <f>+Cabildo!L20+'La Calera'!L20+Concón!L20+Hijuelas!L20+'La Cruz'!L20+'La Ligua'!L20+Nogales!L20+Olmue!L20+Papudo!L20+Petorca!L20+Puchuncavi!L20+Quillota!L20+Quilpue!L20+Quintero!L20+'Villa Alemana'!L20+'Viña del Mar'!L20+Zapallar!L20</f>
        <v>48301474</v>
      </c>
      <c r="M21" s="250">
        <f>+Cabildo!M20+'La Calera'!M20+Concón!M20+Hijuelas!M20+'La Cruz'!M20+'La Ligua'!M20+Nogales!M20+Olmue!M20+Papudo!M20+Petorca!M20+Puchuncavi!M20+Quillota!M20+Quilpue!M20+Quintero!M20+'Villa Alemana'!M20+'Viña del Mar'!M20+Zapallar!M20</f>
        <v>48301474</v>
      </c>
      <c r="N21" s="250">
        <f>+Cabildo!N20+'La Calera'!N20+Concón!N20+Hijuelas!N20+'La Cruz'!N20+'La Ligua'!N20+Nogales!N20+Olmue!N20+Papudo!N20+Petorca!N20+Puchuncavi!N20+Quillota!N20+Quilpue!N20+Quintero!N20+'Villa Alemana'!N20+'Viña del Mar'!N20+Zapallar!N20</f>
        <v>48301474</v>
      </c>
      <c r="O21" s="250">
        <f>+Cabildo!O20+'La Calera'!O20+Concón!O20+Hijuelas!O20+'La Cruz'!O20+'La Ligua'!O20+Nogales!O20+Olmue!O20+Papudo!O20+Petorca!O20+Puchuncavi!O20+Quillota!O20+Quilpue!O20+Quintero!O20+'Villa Alemana'!O20+'Viña del Mar'!O20+Zapallar!O20</f>
        <v>48301474</v>
      </c>
      <c r="P21" s="250">
        <f>+Cabildo!P20+'La Calera'!P20+Concón!P20+Hijuelas!P20+'La Cruz'!P20+'La Ligua'!P20+Nogales!P20+Olmue!P20+Papudo!P20+Petorca!P20+Puchuncavi!P20+Quillota!P20+Quilpue!P20+Quintero!P20+'Villa Alemana'!P20+'Viña del Mar'!P20+Zapallar!P20</f>
        <v>48301474</v>
      </c>
      <c r="Q21" s="250">
        <f>+Cabildo!Q20+'La Calera'!Q20+Concón!Q20+Hijuelas!Q20+'La Cruz'!Q20+'La Ligua'!Q20+Nogales!Q20+Olmue!Q20+Papudo!Q20+Petorca!Q20+Puchuncavi!Q20+Quillota!Q20+Quilpue!Q20+Quintero!Q20+'Villa Alemana'!Q20+'Viña del Mar'!Q20+Zapallar!Q20</f>
        <v>48301474</v>
      </c>
      <c r="R21" s="250">
        <f>+Cabildo!R20+'La Calera'!R20+Concón!R20+Hijuelas!R20+'La Cruz'!R20+'La Ligua'!R20+Nogales!R20+Olmue!R20+Papudo!R20+Petorca!R20+Puchuncavi!R20+Quillota!R20+Quilpue!R20+Quintero!R20+'Villa Alemana'!R20+'Viña del Mar'!R20+Zapallar!R20</f>
        <v>48301474</v>
      </c>
      <c r="S21" s="250">
        <f>+Cabildo!S20+'La Calera'!S20+Concón!S20+Hijuelas!S20+'La Cruz'!S20+'La Ligua'!S20+Nogales!S20+Olmue!S20+Papudo!S20+Petorca!S20+Puchuncavi!S20+Quillota!S20+Quilpue!S20+Quintero!S20+'Villa Alemana'!S20+'Viña del Mar'!S20+Zapallar!S20</f>
        <v>48301474</v>
      </c>
      <c r="T21" s="514">
        <f>+Cabildo!T20+'La Calera'!T20+Concón!T20+Hijuelas!T20+'La Cruz'!T20+'La Ligua'!T20+Nogales!T20+Olmue!T20+Papudo!T20+Petorca!T20+Puchuncavi!T20+Quillota!T20+Quilpue!T20+Quintero!T20+'Villa Alemana'!T20+'Viña del Mar'!T20+Zapallar!T20</f>
        <v>52685859.889000006</v>
      </c>
      <c r="U21" s="235">
        <f>+Cabildo!U20+'La Calera'!U20+Concón!U20+Hijuelas!U20+'La Cruz'!U20+'La Ligua'!U20+Nogales!U20+Olmue!U20+Papudo!U20+Petorca!U20+Puchuncavi!U20+Quillota!U20+Quilpue!U20+Quintero!U20+'Villa Alemana'!U20+'Viña del Mar'!U20+Zapallar!U20</f>
        <v>48301473</v>
      </c>
      <c r="V21" s="206">
        <f>+Cabildo!V20+'La Calera'!V20+Concón!V20+Hijuelas!V20+'La Cruz'!V20+'La Ligua'!V20+Nogales!V20+Olmue!V20+Papudo!V20+Petorca!V20+Puchuncavi!V20+Quillota!V20+Quilpue!V20+Quintero!V20+'Villa Alemana'!V20+'Viña del Mar'!V20+Zapallar!V20</f>
        <v>48301474</v>
      </c>
      <c r="W21" s="206">
        <f>+Cabildo!W20+'La Calera'!W20+Concón!W20+Hijuelas!W20+'La Cruz'!W20+'La Ligua'!W20+Nogales!W20+Olmue!W20+Papudo!W20+Petorca!W20+Puchuncavi!W20+Quillota!W20+Quilpue!W20+Quintero!W20+'Villa Alemana'!W20+'Viña del Mar'!W20+Zapallar!W20</f>
        <v>48301474</v>
      </c>
      <c r="X21" s="206">
        <f>+Cabildo!X20+'La Calera'!X20+Concón!X20+Hijuelas!X20+'La Cruz'!X20+'La Ligua'!X20+Nogales!X20+Olmue!X20+Papudo!X20+Petorca!X20+Puchuncavi!X20+Quillota!X20+Quilpue!X20+Quintero!X20+'Villa Alemana'!X20+'Viña del Mar'!X20+Zapallar!X20</f>
        <v>46821739</v>
      </c>
      <c r="Y21" s="206">
        <f>+Cabildo!Y20+'La Calera'!Y20+Concón!Y20+Hijuelas!Y20+'La Cruz'!Y20+'La Ligua'!Y20+Nogales!Y20+Olmue!Y20+Papudo!Y20+Petorca!Y20+Puchuncavi!Y20+Quillota!Y20+Quilpue!Y20+Quintero!Y20+'Villa Alemana'!Y20+'Viña del Mar'!Y20+Zapallar!Y20</f>
        <v>46821739</v>
      </c>
      <c r="Z21" s="206">
        <f>+Cabildo!Z20+'La Calera'!Z20+Concón!Z20+Hijuelas!Z20+'La Cruz'!Z20+'La Ligua'!Z20+Nogales!Z20+Olmue!Z20+Papudo!Z20+Petorca!Z20+Puchuncavi!Z20+Quillota!Z20+Quilpue!Z20+Quintero!Z20+'Villa Alemana'!Z20+'Viña del Mar'!Z20+Zapallar!Z20</f>
        <v>46821739</v>
      </c>
      <c r="AA21" s="206">
        <f>+Cabildo!AA20+'La Calera'!AA20+Concón!AA20+Hijuelas!AA20+'La Cruz'!AA20+'La Ligua'!AA20+Nogales!AA20+Olmue!AA20+Papudo!AA20+Petorca!AA20+Puchuncavi!AA20+Quillota!AA20+Quilpue!AA20+Quintero!AA20+'Villa Alemana'!AA20+'Viña del Mar'!AA20+Zapallar!AA20</f>
        <v>46821739</v>
      </c>
      <c r="AB21" s="206">
        <f>+Cabildo!AB20+'La Calera'!AB20+Concón!AB20+Hijuelas!AB20+'La Cruz'!AB20+'La Ligua'!AB20+Nogales!AB20+Olmue!AB20+Papudo!AB20+Petorca!AB20+Puchuncavi!AB20+Quillota!AB20+Quilpue!AB20+Quintero!AB20+'Villa Alemana'!AB20+'Viña del Mar'!AB20+Zapallar!AB20</f>
        <v>46821739</v>
      </c>
      <c r="AC21" s="206">
        <f>+Cabildo!AC20+'La Calera'!AC20+Concón!AC20+Hijuelas!AC20+'La Cruz'!AC20+'La Ligua'!AC20+Nogales!AC20+Olmue!AC20+Papudo!AC20+Petorca!AC20+Puchuncavi!AC20+Quillota!AC20+Quilpue!AC20+Quintero!AC20+'Villa Alemana'!AC20+'Viña del Mar'!AC20+Zapallar!AC20</f>
        <v>46821739</v>
      </c>
      <c r="AD21" s="206">
        <f>+Cabildo!AD20+'La Calera'!AD20+Concón!AD20+Hijuelas!AD20+'La Cruz'!AD20+'La Ligua'!AD20+Nogales!AD20+Olmue!AD20+Papudo!AD20+Petorca!AD20+Puchuncavi!AD20+Quillota!AD20+Quilpue!AD20+Quintero!AD20+'Villa Alemana'!AD20+'Viña del Mar'!AD20+Zapallar!AD20</f>
        <v>46821739</v>
      </c>
      <c r="AE21" s="206">
        <f>+Cabildo!AE20+'La Calera'!AE20+Concón!AE20+Hijuelas!AE20+'La Cruz'!AE20+'La Ligua'!AE20+Nogales!AE20+Olmue!AE20+Papudo!AE20+Petorca!AE20+Puchuncavi!AE20+Quillota!AE20+Quilpue!AE20+Quintero!AE20+'Villa Alemana'!AE20+'Viña del Mar'!AE20+Zapallar!AE20</f>
        <v>46821739</v>
      </c>
      <c r="AF21" s="221">
        <f>+Cabildo!AF20+'La Calera'!AF20+Concón!AF20+Hijuelas!AF20+'La Cruz'!AF20+'La Ligua'!AF20+Nogales!AF20+Olmue!AF20+Papudo!AF20+Petorca!AF20+Puchuncavi!AF20+Quillota!AF20+Quilpue!AF20+Quintero!AF20+'Villa Alemana'!AF20+'Viña del Mar'!AF20+Zapallar!AF20</f>
        <v>51206124.82100001</v>
      </c>
      <c r="AG21" s="291">
        <f t="shared" si="1"/>
        <v>570684457.82099998</v>
      </c>
      <c r="AH21" s="123">
        <f t="shared" si="2"/>
        <v>13317615.068000078</v>
      </c>
    </row>
    <row r="22" spans="1:34" ht="15.75" thickBot="1">
      <c r="A22" s="11">
        <v>6</v>
      </c>
      <c r="B22" s="7" t="s">
        <v>32</v>
      </c>
      <c r="C22" s="147" t="s">
        <v>29</v>
      </c>
      <c r="D22" s="21">
        <f>+Cabildo!D21+'La Calera'!D21+Concón!D21+Hijuelas!D21+'La Cruz'!D21+'La Ligua'!D21+Nogales!D21+Olmue!D21+Papudo!D21+Petorca!D21+Puchuncavi!D21+Quillota!D21+Quilpue!D21+Quintero!D21+'Villa Alemana'!D21+'Viña del Mar'!D21+Zapallar!D21</f>
        <v>116916504</v>
      </c>
      <c r="E22" s="15"/>
      <c r="F22" s="14"/>
      <c r="G22" s="16"/>
      <c r="H22" s="322">
        <f t="shared" si="0"/>
        <v>122175728.40000001</v>
      </c>
      <c r="I22" s="250">
        <f>+Cabildo!I21+'La Calera'!I21+Concón!I21+Hijuelas!I21+'La Cruz'!I21+'La Ligua'!I21+Nogales!I21+Olmue!I21+Papudo!I21+Petorca!I21+Puchuncavi!I21+Quillota!I21+Quilpue!I21+Quintero!I21+'Villa Alemana'!I21+'Viña del Mar'!I21+Zapallar!I21</f>
        <v>9743042</v>
      </c>
      <c r="J22" s="250">
        <f>+Cabildo!J21+'La Calera'!J21+Concón!J21+Hijuelas!J21+'La Cruz'!J21+'La Ligua'!J21+Nogales!J21+Olmue!J21+Papudo!J21+Petorca!J21+Puchuncavi!J21+Quillota!J21+Quilpue!J21+Quintero!J21+'Villa Alemana'!J21+'Viña del Mar'!J21+Zapallar!J21</f>
        <v>9981587</v>
      </c>
      <c r="K22" s="250">
        <f>+Cabildo!K21+'La Calera'!K21+Concón!K21+Hijuelas!K21+'La Cruz'!K21+'La Ligua'!K21+Nogales!K21+Olmue!K21+Papudo!K21+Petorca!K21+Puchuncavi!K21+Quillota!K21+Quilpue!K21+Quintero!K21+'Villa Alemana'!K21+'Viña del Mar'!K21+Zapallar!K21</f>
        <v>10240807.400000002</v>
      </c>
      <c r="L22" s="250">
        <f>+Cabildo!L21+'La Calera'!L21+Concón!L21+Hijuelas!L21+'La Cruz'!L21+'La Ligua'!L21+Nogales!L21+Olmue!L21+Papudo!L21+Petorca!L21+Puchuncavi!L21+Quillota!L21+Quilpue!L21+Quintero!L21+'Villa Alemana'!L21+'Viña del Mar'!L21+Zapallar!L21</f>
        <v>10034271</v>
      </c>
      <c r="M22" s="250">
        <f>+Cabildo!M21+'La Calera'!M21+Concón!M21+Hijuelas!M21+'La Cruz'!M21+'La Ligua'!M21+Nogales!M21+Olmue!M21+Papudo!M21+Petorca!M21+Puchuncavi!M21+Quillota!M21+Quilpue!M21+Quintero!M21+'Villa Alemana'!M21+'Viña del Mar'!M21+Zapallar!M21</f>
        <v>10201969</v>
      </c>
      <c r="N22" s="250">
        <f>+Cabildo!N21+'La Calera'!N21+Concón!N21+Hijuelas!N21+'La Cruz'!N21+'La Ligua'!N21+Nogales!N21+Olmue!N21+Papudo!N21+Petorca!N21+Puchuncavi!N21+Quillota!N21+Quilpue!N21+Quintero!N21+'Villa Alemana'!N21+'Viña del Mar'!N21+Zapallar!N21</f>
        <v>10174910</v>
      </c>
      <c r="O22" s="250">
        <f>+Cabildo!O21+'La Calera'!O21+Concón!O21+Hijuelas!O21+'La Cruz'!O21+'La Ligua'!O21+Nogales!O21+Olmue!O21+Papudo!O21+Petorca!O21+Puchuncavi!O21+Quillota!O21+Quilpue!O21+Quintero!O21+'Villa Alemana'!O21+'Viña del Mar'!O21+Zapallar!O21</f>
        <v>10174910</v>
      </c>
      <c r="P22" s="250">
        <f>+Cabildo!P21+'La Calera'!P21+Concón!P21+Hijuelas!P21+'La Cruz'!P21+'La Ligua'!P21+Nogales!P21+Olmue!P21+Papudo!P21+Petorca!P21+Puchuncavi!P21+Quillota!P21+Quilpue!P21+Quintero!P21+'Villa Alemana'!P21+'Viña del Mar'!P21+Zapallar!P21</f>
        <v>10174910</v>
      </c>
      <c r="Q22" s="250">
        <f>+Cabildo!Q21+'La Calera'!Q21+Concón!Q21+Hijuelas!Q21+'La Cruz'!Q21+'La Ligua'!Q21+Nogales!Q21+Olmue!Q21+Papudo!Q21+Petorca!Q21+Puchuncavi!Q21+Quillota!Q21+Quilpue!Q21+Quintero!Q21+'Villa Alemana'!Q21+'Viña del Mar'!Q21+Zapallar!Q21</f>
        <v>10174910</v>
      </c>
      <c r="R22" s="250">
        <f>+Cabildo!R21+'La Calera'!R21+Concón!R21+Hijuelas!R21+'La Cruz'!R21+'La Ligua'!R21+Nogales!R21+Olmue!R21+Papudo!R21+Petorca!R21+Puchuncavi!R21+Quillota!R21+Quilpue!R21+Quintero!R21+'Villa Alemana'!R21+'Viña del Mar'!R21+Zapallar!R21</f>
        <v>10174910</v>
      </c>
      <c r="S22" s="250">
        <f>+Cabildo!S21+'La Calera'!S21+Concón!S21+Hijuelas!S21+'La Cruz'!S21+'La Ligua'!S21+Nogales!S21+Olmue!S21+Papudo!S21+Petorca!S21+Puchuncavi!S21+Quillota!S21+Quilpue!S21+Quintero!S21+'Villa Alemana'!S21+'Viña del Mar'!S21+Zapallar!S21</f>
        <v>10174910</v>
      </c>
      <c r="T22" s="514">
        <f>+Cabildo!T21+'La Calera'!T21+Concón!T21+Hijuelas!T21+'La Cruz'!T21+'La Ligua'!T21+Nogales!T21+Olmue!T21+Papudo!T21+Petorca!T21+Puchuncavi!T21+Quillota!T21+Quilpue!T21+Quintero!T21+'Villa Alemana'!T21+'Viña del Mar'!T21+Zapallar!T21+Limache!T21</f>
        <v>10924592</v>
      </c>
      <c r="U22" s="235">
        <f>+Cabildo!U21+'La Calera'!U21+Concón!U21+Hijuelas!U21+'La Cruz'!U21+'La Ligua'!U21+Nogales!U21+Olmue!U21+Papudo!U21+Petorca!U21+Puchuncavi!U21+Quillota!U21+Quilpue!U21+Quintero!U21+'Villa Alemana'!U21+'Viña del Mar'!U21+Zapallar!U21</f>
        <v>9743042</v>
      </c>
      <c r="V22" s="206">
        <f>+Cabildo!V21+'La Calera'!V21+Concón!V21+Hijuelas!V21+'La Cruz'!V21+'La Ligua'!V21+Nogales!V21+Olmue!V21+Papudo!V21+Petorca!V21+Puchuncavi!V21+Quillota!V21+Quilpue!V21+Quintero!V21+'Villa Alemana'!V21+'Viña del Mar'!V21+Zapallar!V21</f>
        <v>9981587</v>
      </c>
      <c r="W22" s="206">
        <f>+Cabildo!W21+'La Calera'!W21+Concón!W21+Hijuelas!W21+'La Cruz'!W21+'La Ligua'!W21+Nogales!W21+Olmue!W21+Papudo!W21+Petorca!W21+Puchuncavi!W21+Quillota!W21+Quilpue!W21+Quintero!W21+'Villa Alemana'!W21+'Viña del Mar'!W21+Zapallar!W21</f>
        <v>10240807</v>
      </c>
      <c r="X22" s="206">
        <f>+Cabildo!X21+'La Calera'!X21+Concón!X21+Hijuelas!X21+'La Cruz'!X21+'La Ligua'!X21+Nogales!X21+Olmue!X21+Papudo!X21+Petorca!X21+Puchuncavi!X21+Quillota!X21+Quilpue!X21+Quintero!X21+'Villa Alemana'!X21+'Viña del Mar'!X21+Zapallar!X21</f>
        <v>10034271</v>
      </c>
      <c r="Y22" s="206">
        <f>+Cabildo!Y21+'La Calera'!Y21+Concón!Y21+Hijuelas!Y21+'La Cruz'!Y21+'La Ligua'!Y21+Nogales!Y21+Olmue!Y21+Papudo!Y21+Petorca!Y21+Puchuncavi!Y21+Quillota!Y21+Quilpue!Y21+Quintero!Y21+'Villa Alemana'!Y21+'Viña del Mar'!Y21+Zapallar!Y21</f>
        <v>10201969</v>
      </c>
      <c r="Z22" s="206">
        <f>+Cabildo!Z21+'La Calera'!Z21+Concón!Z21+Hijuelas!Z21+'La Cruz'!Z21+'La Ligua'!Z21+Nogales!Z21+Olmue!Z21+Papudo!Z21+Petorca!Z21+Puchuncavi!Z21+Quillota!Z21+Quilpue!Z21+Quintero!Z21+'Villa Alemana'!Z21+'Viña del Mar'!Z21+Zapallar!Z21</f>
        <v>10174910</v>
      </c>
      <c r="AA22" s="206">
        <f>+Cabildo!AA21+'La Calera'!AA21+Concón!AA21+Hijuelas!AA21+'La Cruz'!AA21+'La Ligua'!AA21+Nogales!AA21+Olmue!AA21+Papudo!AA21+Petorca!AA21+Puchuncavi!AA21+Quillota!AA21+Quilpue!AA21+Quintero!AA21+'Villa Alemana'!AA21+'Viña del Mar'!AA21+Zapallar!AA21</f>
        <v>10174910</v>
      </c>
      <c r="AB22" s="206">
        <f>+Cabildo!AB21+'La Calera'!AB21+Concón!AB21+Hijuelas!AB21+'La Cruz'!AB21+'La Ligua'!AB21+Nogales!AB21+Olmue!AB21+Papudo!AB21+Petorca!AB21+Puchuncavi!AB21+Quillota!AB21+Quilpue!AB21+Quintero!AB21+'Villa Alemana'!AB21+'Viña del Mar'!AB21+Zapallar!AB21</f>
        <v>10174910</v>
      </c>
      <c r="AC22" s="206">
        <f>+Cabildo!AC21+'La Calera'!AC21+Concón!AC21+Hijuelas!AC21+'La Cruz'!AC21+'La Ligua'!AC21+Nogales!AC21+Olmue!AC21+Papudo!AC21+Petorca!AC21+Puchuncavi!AC21+Quillota!AC21+Quilpue!AC21+Quintero!AC21+'Villa Alemana'!AC21+'Viña del Mar'!AC21+Zapallar!AC21</f>
        <v>10174910</v>
      </c>
      <c r="AD22" s="206">
        <f>+Cabildo!AD21+'La Calera'!AD21+Concón!AD21+Hijuelas!AD21+'La Cruz'!AD21+'La Ligua'!AD21+Nogales!AD21+Olmue!AD21+Papudo!AD21+Petorca!AD21+Puchuncavi!AD21+Quillota!AD21+Quilpue!AD21+Quintero!AD21+'Villa Alemana'!AD21+'Viña del Mar'!AD21+Zapallar!AD21</f>
        <v>10174910</v>
      </c>
      <c r="AE22" s="206">
        <f>+Cabildo!AE21+'La Calera'!AE21+Concón!AE21+Hijuelas!AE21+'La Cruz'!AE21+'La Ligua'!AE21+Nogales!AE21+Olmue!AE21+Papudo!AE21+Petorca!AE21+Puchuncavi!AE21+Quillota!AE21+Quilpue!AE21+Quintero!AE21+'Villa Alemana'!AE21+'Viña del Mar'!AE21+Zapallar!AE21</f>
        <v>10174910</v>
      </c>
      <c r="AF22" s="221">
        <f>+Cabildo!AF21+'La Calera'!AF21+Concón!AF21+Hijuelas!AF21+'La Cruz'!AF21+'La Ligua'!AF21+Nogales!AF21+Olmue!AF21+Papudo!AF21+Petorca!AF21+Puchuncavi!AF21+Quillota!AF21+Quilpue!AF21+Quintero!AF21+'Villa Alemana'!AF21+'Viña del Mar'!AF21+Zapallar!AF21</f>
        <v>10304925</v>
      </c>
      <c r="AG22" s="291">
        <f t="shared" si="1"/>
        <v>121556061</v>
      </c>
      <c r="AH22" s="123">
        <f t="shared" si="2"/>
        <v>619667.40000000596</v>
      </c>
    </row>
    <row r="23" spans="1:34" ht="15.75" thickBot="1">
      <c r="A23" s="11"/>
      <c r="B23" s="7" t="s">
        <v>130</v>
      </c>
      <c r="C23" s="147" t="s">
        <v>29</v>
      </c>
      <c r="D23" s="21"/>
      <c r="E23" s="15"/>
      <c r="F23" s="14"/>
      <c r="G23" s="16"/>
      <c r="H23" s="322">
        <f t="shared" si="0"/>
        <v>3324625561</v>
      </c>
      <c r="I23" s="250">
        <f>+Cabildo!I22+'La Calera'!I22+Concón!I22+Hijuelas!I22+'La Cruz'!I22+'La Ligua'!I22+Nogales!I22+Olmue!I22+Papudo!I22+Petorca!I22+Puchuncavi!I22+Quillota!I22+Quilpue!I22+Quintero!I22+'Villa Alemana'!I22+'Viña del Mar'!I22+Zapallar!I22</f>
        <v>0</v>
      </c>
      <c r="J23" s="250">
        <f>+Cabildo!J22+'La Calera'!J22+Concón!J22+Hijuelas!J22+'La Cruz'!J22+'La Ligua'!J22+Nogales!J22+Olmue!J22+Papudo!J22+Petorca!J22+Puchuncavi!J22+Quillota!J22+Quilpue!J22+Quintero!J22+'Villa Alemana'!J22+'Viña del Mar'!J22+Zapallar!J22</f>
        <v>0</v>
      </c>
      <c r="K23" s="250">
        <f>+Cabildo!K22+'La Calera'!K22+Concón!K22+Hijuelas!K22+'La Cruz'!K22+'La Ligua'!K22+Nogales!K22+Olmue!K22+Papudo!K22+Petorca!K22+Puchuncavi!K22+Quillota!K22+Quilpue!K22+Quintero!K22+'Villa Alemana'!K22+'Viña del Mar'!K22+Zapallar!K22</f>
        <v>0</v>
      </c>
      <c r="L23" s="250">
        <f>+Cabildo!L22+'La Calera'!L22+Concón!L22+Hijuelas!L22+'La Cruz'!L22+'La Ligua'!L22+Nogales!L22+Olmue!L22+Papudo!L22+Petorca!L22+Puchuncavi!L22+Quillota!L22+Quilpue!L22+Quintero!L22+'Villa Alemana'!L22+'Viña del Mar'!L22+Zapallar!L22</f>
        <v>837804001</v>
      </c>
      <c r="M23" s="250">
        <f>+Cabildo!M22+'La Calera'!M22+Concón!M22+Hijuelas!M22+'La Cruz'!M22+'La Ligua'!M22+Nogales!M22+Olmue!M22+Papudo!M22+Petorca!M22+Puchuncavi!M22+Quillota!M22+Quilpue!M22+Quintero!M22+'Villa Alemana'!M22+'Viña del Mar'!M22+Zapallar!M22</f>
        <v>0</v>
      </c>
      <c r="N23" s="250">
        <f>+Cabildo!N22+'La Calera'!N22+Concón!N22+Hijuelas!N22+'La Cruz'!N22+'La Ligua'!N22+Nogales!N22+Olmue!N22+Papudo!N22+Petorca!N22+Puchuncavi!N22+Quillota!N22+Quilpue!N22+Quintero!N22+'Villa Alemana'!N22+'Viña del Mar'!N22+Zapallar!N22</f>
        <v>831634607</v>
      </c>
      <c r="O23" s="250">
        <f>+Cabildo!O22+'La Calera'!O22+Concón!O22+Hijuelas!O22+'La Cruz'!O22+'La Ligua'!O22+Nogales!O22+Olmue!O22+Papudo!O22+Petorca!O22+Puchuncavi!O22+Quillota!O22+Quilpue!O22+Quintero!O22+'Villa Alemana'!O22+'Viña del Mar'!O22+Zapallar!O22</f>
        <v>0</v>
      </c>
      <c r="P23" s="250">
        <f>+Cabildo!P22+'La Calera'!P22+Concón!P22+Hijuelas!P22+'La Cruz'!P22+'La Ligua'!P22+Nogales!P22+Olmue!P22+Papudo!P22+Petorca!P22+Puchuncavi!P22+Quillota!P22+Quilpue!P22+Quintero!P22+'Villa Alemana'!P22+'Viña del Mar'!P22+Zapallar!P22</f>
        <v>0</v>
      </c>
      <c r="Q23" s="250">
        <f>+Cabildo!Q22+'La Calera'!Q22+Concón!Q22+Hijuelas!Q22+'La Cruz'!Q22+'La Ligua'!Q22+Nogales!Q22+Olmue!Q22+Papudo!Q22+Petorca!Q22+Puchuncavi!Q22+Quillota!Q22+Quilpue!Q22+Quintero!Q22+'Villa Alemana'!Q22+'Viña del Mar'!Q22+Zapallar!Q22</f>
        <v>829306420</v>
      </c>
      <c r="R23" s="250">
        <f>+Cabildo!R22+'La Calera'!R22+Concón!R22+Hijuelas!R22+'La Cruz'!R22+'La Ligua'!R22+Nogales!R22+Olmue!R22+Papudo!R22+Petorca!R22+Puchuncavi!R22+Quillota!R22+Quilpue!R22+Quintero!R22+'Villa Alemana'!R22+'Viña del Mar'!R22+Zapallar!R22</f>
        <v>0</v>
      </c>
      <c r="S23" s="250">
        <f>+Cabildo!S22+'La Calera'!S22+Concón!S22+Hijuelas!S22+'La Cruz'!S22+'La Ligua'!S22+Nogales!S22+Olmue!S22+Papudo!S22+Petorca!S22+Puchuncavi!S22+Quillota!S22+Quilpue!S22+Quintero!S22+'Villa Alemana'!S22+'Viña del Mar'!S22+Zapallar!S22</f>
        <v>0</v>
      </c>
      <c r="T23" s="514">
        <f>+Cabildo!T22+'La Calera'!T22+Concón!T22+Hijuelas!T22+'La Cruz'!T22+'La Ligua'!T22+Nogales!T22+Olmue!T22+Papudo!T22+Petorca!T22+Puchuncavi!T22+Quillota!T22+Quilpue!T22+Quintero!T22+'Villa Alemana'!T22+'Viña del Mar'!T22+Zapallar!T22</f>
        <v>825880533</v>
      </c>
      <c r="U23" s="235">
        <f>+Cabildo!U22+'La Calera'!U22+Concón!U22+Hijuelas!U22+'La Cruz'!U22+'La Ligua'!U22+Nogales!U22+Olmue!U22+Papudo!U22+Petorca!U22+Puchuncavi!U22+Quillota!U22+Quilpue!U22+Quintero!U22+'Villa Alemana'!U22+'Viña del Mar'!U22+Zapallar!U22</f>
        <v>0</v>
      </c>
      <c r="V23" s="206">
        <f>+Cabildo!V22+'La Calera'!V22+Concón!V22+Hijuelas!V22+'La Cruz'!V22+'La Ligua'!V22+Nogales!V22+Olmue!V22+Papudo!V22+Petorca!V22+Puchuncavi!V22+Quillota!V22+Quilpue!V22+Quintero!V22+'Villa Alemana'!V22+'Viña del Mar'!V22+Zapallar!V22</f>
        <v>0</v>
      </c>
      <c r="W23" s="206">
        <f>+Cabildo!W22+'La Calera'!W22+Concón!W22+Hijuelas!W22+'La Cruz'!W22+'La Ligua'!W22+Nogales!W22+Olmue!W22+Papudo!W22+Petorca!W22+Puchuncavi!W22+Quillota!W22+Quilpue!W22+Quintero!W22+'Villa Alemana'!W22+'Viña del Mar'!W22+Zapallar!W22</f>
        <v>0</v>
      </c>
      <c r="X23" s="206">
        <f>+Cabildo!X22+'La Calera'!X22+Concón!X22+Hijuelas!X22+'La Cruz'!X22+'La Ligua'!X22+Nogales!X22+Olmue!X22+Papudo!X22+Petorca!X22+Puchuncavi!X22+Quillota!X22+Quilpue!X22+Quintero!X22+'Villa Alemana'!X22+'Viña del Mar'!X22+Zapallar!X22</f>
        <v>837804001</v>
      </c>
      <c r="Y23" s="206">
        <f>+Cabildo!Y22+'La Calera'!Y22+Concón!Y22+Hijuelas!Y22+'La Cruz'!Y22+'La Ligua'!Y22+Nogales!Y22+Olmue!Y22+Papudo!Y22+Petorca!Y22+Puchuncavi!Y22+Quillota!Y22+Quilpue!Y22+Quintero!Y22+'Villa Alemana'!Y22+'Viña del Mar'!Y22+Zapallar!Y22</f>
        <v>0</v>
      </c>
      <c r="Z23" s="206">
        <f>+Cabildo!Z22+'La Calera'!Z22+Concón!Z22+Hijuelas!Z22+'La Cruz'!Z22+'La Ligua'!Z22+Nogales!Z22+Olmue!Z22+Papudo!Z22+Petorca!Z22+Puchuncavi!Z22+Quillota!Z22+Quilpue!Z22+Quintero!Z22+'Villa Alemana'!Z22+'Viña del Mar'!Z22+Zapallar!Z22</f>
        <v>831634607</v>
      </c>
      <c r="AA23" s="206">
        <f>+Cabildo!AA22+'La Calera'!AA22+Concón!AA22+Hijuelas!AA22+'La Cruz'!AA22+'La Ligua'!AA22+Nogales!AA22+Olmue!AA22+Papudo!AA22+Petorca!AA22+Puchuncavi!AA22+Quillota!AA22+Quilpue!AA22+Quintero!AA22+'Villa Alemana'!AA22+'Viña del Mar'!AA22+Zapallar!AA22</f>
        <v>0</v>
      </c>
      <c r="AB23" s="206">
        <f>+Cabildo!AB22+'La Calera'!AB22+Concón!AB22+Hijuelas!AB22+'La Cruz'!AB22+'La Ligua'!AB22+Nogales!AB22+Olmue!AB22+Papudo!AB22+Petorca!AB22+Puchuncavi!AB22+Quillota!AB22+Quilpue!AB22+Quintero!AB22+'Villa Alemana'!AB22+'Viña del Mar'!AB22+Zapallar!AB22</f>
        <v>0</v>
      </c>
      <c r="AC23" s="206">
        <f>+Cabildo!AC22+'La Calera'!AC22+Concón!AC22+Hijuelas!AC22+'La Cruz'!AC22+'La Ligua'!AC22+Nogales!AC22+Olmue!AC22+Papudo!AC22+Petorca!AC22+Puchuncavi!AC22+Quillota!AC22+Quilpue!AC22+Quintero!AC22+'Villa Alemana'!AC22+'Viña del Mar'!AC22+Zapallar!AC22</f>
        <v>829306420</v>
      </c>
      <c r="AD23" s="206">
        <f>+Cabildo!AD22+'La Calera'!AD22+Concón!AD22+Hijuelas!AD22+'La Cruz'!AD22+'La Ligua'!AD22+Nogales!AD22+Olmue!AD22+Papudo!AD22+Petorca!AD22+Puchuncavi!AD22+Quillota!AD22+Quilpue!AD22+Quintero!AD22+'Villa Alemana'!AD22+'Viña del Mar'!AD22+Zapallar!AD22</f>
        <v>0</v>
      </c>
      <c r="AE23" s="206">
        <f>+Cabildo!AE22+'La Calera'!AE22+Concón!AE22+Hijuelas!AE22+'La Cruz'!AE22+'La Ligua'!AE22+Nogales!AE22+Olmue!AE22+Papudo!AE22+Petorca!AE22+Puchuncavi!AE22+Quillota!AE22+Quilpue!AE22+Quintero!AE22+'Villa Alemana'!AE22+'Viña del Mar'!AE22+Zapallar!AE22</f>
        <v>0</v>
      </c>
      <c r="AF23" s="221">
        <f>+Cabildo!AF22+'La Calera'!AF22+Concón!AF22+Hijuelas!AF22+'La Cruz'!AF22+'La Ligua'!AF22+Nogales!AF22+Olmue!AF22+Papudo!AF22+Petorca!AF22+Puchuncavi!AF22+Quillota!AF22+Quilpue!AF22+Quintero!AF22+'Villa Alemana'!AF22+'Viña del Mar'!AF22+Zapallar!AF22</f>
        <v>825880533</v>
      </c>
      <c r="AG23" s="291">
        <f>SUM(U23:AF23)</f>
        <v>3324625561</v>
      </c>
      <c r="AH23" s="123">
        <f t="shared" si="2"/>
        <v>0</v>
      </c>
    </row>
    <row r="24" spans="1:34" ht="15.75" thickBot="1">
      <c r="A24" s="11"/>
      <c r="B24" s="7" t="s">
        <v>131</v>
      </c>
      <c r="C24" s="147" t="s">
        <v>29</v>
      </c>
      <c r="D24" s="21"/>
      <c r="E24" s="15"/>
      <c r="F24" s="14"/>
      <c r="G24" s="16"/>
      <c r="H24" s="322">
        <f t="shared" si="0"/>
        <v>3791784001.333333</v>
      </c>
      <c r="I24" s="250">
        <f>+Cabildo!I23+'La Calera'!I23+Concón!I23+Hijuelas!I23+'La Cruz'!I23+'La Ligua'!I23+Nogales!I23+Olmue!I23+Papudo!I23+Petorca!I23+Puchuncavi!I23+Quillota!I23+Quilpue!I23+Quintero!I23+'Villa Alemana'!I23+'Viña del Mar'!I23+Zapallar!I23</f>
        <v>0</v>
      </c>
      <c r="J24" s="250">
        <f>+Cabildo!J23+'La Calera'!J23+Concón!J23+Hijuelas!J23+'La Cruz'!J23+'La Ligua'!J23+Nogales!J23+Olmue!J23+Papudo!J23+Petorca!J23+Puchuncavi!J23+Quillota!J23+Quilpue!J23+Quintero!J23+'Villa Alemana'!J23+'Viña del Mar'!J23+Zapallar!J23</f>
        <v>0</v>
      </c>
      <c r="K24" s="250">
        <f>+Cabildo!K23+'La Calera'!K23+Concón!K23+Hijuelas!K23+'La Cruz'!K23+'La Ligua'!K23+Nogales!K23+Olmue!K23+Papudo!K23+Petorca!K23+Puchuncavi!K23+Quillota!K23+Quilpue!K23+Quintero!K23+'Villa Alemana'!K23+'Viña del Mar'!K23+Zapallar!K23</f>
        <v>0</v>
      </c>
      <c r="L24" s="250">
        <f>+Cabildo!L23+'La Calera'!L23+Concón!L23+Hijuelas!L23+'La Cruz'!L23+'La Ligua'!L23+Nogales!L23+Olmue!L23+Papudo!L23+Petorca!L23+Puchuncavi!L23+Quillota!L23+Quilpue!L23+Quintero!L23+'Villa Alemana'!L23+'Viña del Mar'!L23+Zapallar!L23</f>
        <v>967948145</v>
      </c>
      <c r="M24" s="250">
        <f>+Cabildo!M23+'La Calera'!M23+Concón!M23+Hijuelas!M23+'La Cruz'!M23+'La Ligua'!M23+Nogales!M23+Olmue!M23+Papudo!M23+Petorca!M23+Puchuncavi!M23+Quillota!M23+Quilpue!M23+Quintero!M23+'Villa Alemana'!M23+'Viña del Mar'!M23+Zapallar!M23</f>
        <v>0</v>
      </c>
      <c r="N24" s="250">
        <f>+Cabildo!N23+'La Calera'!N23+Concón!N23+Hijuelas!N23+'La Cruz'!N23+'La Ligua'!N23+Nogales!N23+Olmue!N23+Papudo!N23+Petorca!N23+Puchuncavi!N23+Quillota!N23+Quilpue!N23+Quintero!N23+'Villa Alemana'!N23+'Viña del Mar'!N23+Zapallar!N23</f>
        <v>944174287</v>
      </c>
      <c r="O24" s="250">
        <f>+Cabildo!O23+'La Calera'!O23+Concón!O23+Hijuelas!O23+'La Cruz'!O23+'La Ligua'!O23+Nogales!O23+Olmue!O23+Papudo!O23+Petorca!O23+Puchuncavi!O23+Quillota!O23+Quilpue!O23+Quintero!O23+'Villa Alemana'!O23+'Viña del Mar'!O23+Zapallar!O23</f>
        <v>0</v>
      </c>
      <c r="P24" s="250">
        <f>+Cabildo!P23+'La Calera'!P23+Concón!P23+Hijuelas!P23+'La Cruz'!P23+'La Ligua'!P23+Nogales!P23+Olmue!P23+Papudo!P23+Petorca!P23+Puchuncavi!P23+Quillota!P23+Quilpue!P23+Quintero!P23+'Villa Alemana'!P23+'Viña del Mar'!P23+Zapallar!P23</f>
        <v>0</v>
      </c>
      <c r="Q24" s="250">
        <f>+Cabildo!Q23+'La Calera'!Q23+Concón!Q23+Hijuelas!Q23+'La Cruz'!Q23+'La Ligua'!Q23+Nogales!Q23+Olmue!Q23+Papudo!Q23+Petorca!Q23+Puchuncavi!Q23+Quillota!Q23+Quilpue!Q23+Quintero!Q23+'Villa Alemana'!Q23+'Viña del Mar'!Q23+Zapallar!Q23</f>
        <v>941805268.33333325</v>
      </c>
      <c r="R24" s="250">
        <f>+Cabildo!R23+'La Calera'!R23+Concón!R23+Hijuelas!R23+'La Cruz'!R23+'La Ligua'!R23+Nogales!R23+Olmue!R23+Papudo!R23+Petorca!R23+Puchuncavi!R23+Quillota!R23+Quilpue!R23+Quintero!R23+'Villa Alemana'!R23+'Viña del Mar'!R23+Zapallar!R23</f>
        <v>0</v>
      </c>
      <c r="S24" s="250">
        <f>+Cabildo!S23+'La Calera'!S23+Concón!S23+Hijuelas!S23+'La Cruz'!S23+'La Ligua'!S23+Nogales!S23+Olmue!S23+Papudo!S23+Petorca!S23+Puchuncavi!S23+Quillota!S23+Quilpue!S23+Quintero!S23+'Villa Alemana'!S23+'Viña del Mar'!S23+Zapallar!S23</f>
        <v>0</v>
      </c>
      <c r="T24" s="514">
        <f>+Cabildo!T23+'La Calera'!T23+Concón!T23+Hijuelas!T23+'La Cruz'!T23+'La Ligua'!T23+Nogales!T23+Olmue!T23+Papudo!T23+Petorca!T23+Puchuncavi!T23+Quillota!T23+Quilpue!T23+Quintero!T23+'Villa Alemana'!T23+'Viña del Mar'!T23+Zapallar!T23</f>
        <v>937856301</v>
      </c>
      <c r="U24" s="235">
        <f>+Cabildo!U23+'La Calera'!U23+Concón!U23+Hijuelas!U23+'La Cruz'!U23+'La Ligua'!U23+Nogales!U23+Olmue!U23+Papudo!U23+Petorca!U23+Puchuncavi!U23+Quillota!U23+Quilpue!U23+Quintero!U23+'Villa Alemana'!U23+'Viña del Mar'!U23+Zapallar!U23</f>
        <v>0</v>
      </c>
      <c r="V24" s="206">
        <f>+Cabildo!V23+'La Calera'!V23+Concón!V23+Hijuelas!V23+'La Cruz'!V23+'La Ligua'!V23+Nogales!V23+Olmue!V23+Papudo!V23+Petorca!V23+Puchuncavi!V23+Quillota!V23+Quilpue!V23+Quintero!V23+'Villa Alemana'!V23+'Viña del Mar'!V23+Zapallar!V23</f>
        <v>0</v>
      </c>
      <c r="W24" s="206">
        <f>+Cabildo!W23+'La Calera'!W23+Concón!W23+Hijuelas!W23+'La Cruz'!W23+'La Ligua'!W23+Nogales!W23+Olmue!W23+Papudo!W23+Petorca!W23+Puchuncavi!W23+Quillota!W23+Quilpue!W23+Quintero!W23+'Villa Alemana'!W23+'Viña del Mar'!W23+Zapallar!W23</f>
        <v>0</v>
      </c>
      <c r="X24" s="206">
        <f>+Cabildo!X23+'La Calera'!X23+Concón!X23+Hijuelas!X23+'La Cruz'!X23+'La Ligua'!X23+Nogales!X23+Olmue!X23+Papudo!X23+Petorca!X23+Puchuncavi!X23+Quillota!X23+Quilpue!X23+Quintero!X23+'Villa Alemana'!X23+'Viña del Mar'!X23+Zapallar!X23</f>
        <v>967948145</v>
      </c>
      <c r="Y24" s="206">
        <f>+Cabildo!Y23+'La Calera'!Y23+Concón!Y23+Hijuelas!Y23+'La Cruz'!Y23+'La Ligua'!Y23+Nogales!Y23+Olmue!Y23+Papudo!Y23+Petorca!Y23+Puchuncavi!Y23+Quillota!Y23+Quilpue!Y23+Quintero!Y23+'Villa Alemana'!Y23+'Viña del Mar'!Y23+Zapallar!Y23</f>
        <v>0</v>
      </c>
      <c r="Z24" s="206">
        <f>+Cabildo!Z23+'La Calera'!Z23+Concón!Z23+Hijuelas!Z23+'La Cruz'!Z23+'La Ligua'!Z23+Nogales!Z23+Olmue!Z23+Papudo!Z23+Petorca!Z23+Puchuncavi!Z23+Quillota!Z23+Quilpue!Z23+Quintero!Z23+'Villa Alemana'!Z23+'Viña del Mar'!Z23+Zapallar!Z23</f>
        <v>944174287</v>
      </c>
      <c r="AA24" s="206">
        <f>+Cabildo!AA23+'La Calera'!AA23+Concón!AA23+Hijuelas!AA23+'La Cruz'!AA23+'La Ligua'!AA23+Nogales!AA23+Olmue!AA23+Papudo!AA23+Petorca!AA23+Puchuncavi!AA23+Quillota!AA23+Quilpue!AA23+Quintero!AA23+'Villa Alemana'!AA23+'Viña del Mar'!AA23+Zapallar!AA23</f>
        <v>0</v>
      </c>
      <c r="AB24" s="206">
        <f>+Cabildo!AB23+'La Calera'!AB23+Concón!AB23+Hijuelas!AB23+'La Cruz'!AB23+'La Ligua'!AB23+Nogales!AB23+Olmue!AB23+Papudo!AB23+Petorca!AB23+Puchuncavi!AB23+Quillota!AB23+Quilpue!AB23+Quintero!AB23+'Villa Alemana'!AB23+'Viña del Mar'!AB23+Zapallar!AB23</f>
        <v>0</v>
      </c>
      <c r="AC24" s="206">
        <f>+Cabildo!AC23+'La Calera'!AC23+Concón!AC23+Hijuelas!AC23+'La Cruz'!AC23+'La Ligua'!AC23+Nogales!AC23+Olmue!AC23+Papudo!AC23+Petorca!AC23+Puchuncavi!AC23+Quillota!AC23+Quilpue!AC23+Quintero!AC23+'Villa Alemana'!AC23+'Viña del Mar'!AC23+Zapallar!AC23</f>
        <v>941805268.33333325</v>
      </c>
      <c r="AD24" s="206">
        <f>+Cabildo!AD23+'La Calera'!AD23+Concón!AD23+Hijuelas!AD23+'La Cruz'!AD23+'La Ligua'!AD23+Nogales!AD23+Olmue!AD23+Papudo!AD23+Petorca!AD23+Puchuncavi!AD23+Quillota!AD23+Quilpue!AD23+Quintero!AD23+'Villa Alemana'!AD23+'Viña del Mar'!AD23+Zapallar!AD23</f>
        <v>0</v>
      </c>
      <c r="AE24" s="206">
        <f>+Cabildo!AE23+'La Calera'!AE23+Concón!AE23+Hijuelas!AE23+'La Cruz'!AE23+'La Ligua'!AE23+Nogales!AE23+Olmue!AE23+Papudo!AE23+Petorca!AE23+Puchuncavi!AE23+Quillota!AE23+Quilpue!AE23+Quintero!AE23+'Villa Alemana'!AE23+'Viña del Mar'!AE23+Zapallar!AE23</f>
        <v>0</v>
      </c>
      <c r="AF24" s="221">
        <f>+Cabildo!AF23+'La Calera'!AF23+Concón!AF23+Hijuelas!AF23+'La Cruz'!AF23+'La Ligua'!AF23+Nogales!AF23+Olmue!AF23+Papudo!AF23+Petorca!AF23+Puchuncavi!AF23+Quillota!AF23+Quilpue!AF23+Quintero!AF23+'Villa Alemana'!AF23+'Viña del Mar'!AF23+Zapallar!AF23</f>
        <v>937856301</v>
      </c>
      <c r="AG24" s="291">
        <f>SUM(U24:AF24)</f>
        <v>3791784001.333333</v>
      </c>
      <c r="AH24" s="123">
        <f t="shared" si="2"/>
        <v>0</v>
      </c>
    </row>
    <row r="25" spans="1:34" ht="15.75" thickBot="1">
      <c r="A25" s="11">
        <v>7</v>
      </c>
      <c r="B25" s="7" t="s">
        <v>33</v>
      </c>
      <c r="C25" s="147" t="s">
        <v>29</v>
      </c>
      <c r="D25" s="21">
        <f>+Cabildo!D24+'La Calera'!D24+Concón!D24+Hijuelas!D24+'La Cruz'!D24+'La Ligua'!D24+Nogales!D24+Olmue!D24+Papudo!D24+Petorca!D24+Puchuncavi!D24+Quillota!D24+Quilpue!D24+Quintero!D24+'Villa Alemana'!D24+'Viña del Mar'!D24+Zapallar!D24</f>
        <v>170405160</v>
      </c>
      <c r="E25" s="15"/>
      <c r="F25" s="14"/>
      <c r="G25" s="16"/>
      <c r="H25" s="322">
        <f t="shared" si="0"/>
        <v>170405160</v>
      </c>
      <c r="I25" s="250">
        <f>+Cabildo!I24+'La Calera'!I24+Concón!I24+Hijuelas!I24+'La Cruz'!I24+'La Ligua'!I24+Nogales!I24+Olmue!I24+Papudo!I24+Petorca!I24+Puchuncavi!I24+Quillota!I24+Quilpue!I24+Quintero!I24+'Villa Alemana'!I24+'Viña del Mar'!I24+Zapallar!I24</f>
        <v>14200430</v>
      </c>
      <c r="J25" s="250">
        <f>+Cabildo!J24+'La Calera'!J24+Concón!J24+Hijuelas!J24+'La Cruz'!J24+'La Ligua'!J24+Nogales!J24+Olmue!J24+Papudo!J24+Petorca!J24+Puchuncavi!J24+Quillota!J24+Quilpue!J24+Quintero!J24+'Villa Alemana'!J24+'Viña del Mar'!J24+Zapallar!J24</f>
        <v>14200430</v>
      </c>
      <c r="K25" s="250">
        <f>+Cabildo!K24+'La Calera'!K24+Concón!K24+Hijuelas!K24+'La Cruz'!K24+'La Ligua'!K24+Nogales!K24+Olmue!K24+Papudo!K24+Petorca!K24+Puchuncavi!K24+Quillota!K24+Quilpue!K24+Quintero!K24+'Villa Alemana'!K24+'Viña del Mar'!K24+Zapallar!K24</f>
        <v>14200430</v>
      </c>
      <c r="L25" s="250">
        <f>+Cabildo!L24+'La Calera'!L24+Concón!L24+Hijuelas!L24+'La Cruz'!L24+'La Ligua'!L24+Nogales!L24+Olmue!L24+Papudo!L24+Petorca!L24+Puchuncavi!L24+Quillota!L24+Quilpue!L24+Quintero!L24+'Villa Alemana'!L24+'Viña del Mar'!L24+Zapallar!L24</f>
        <v>14200430</v>
      </c>
      <c r="M25" s="250">
        <f>+Cabildo!M24+'La Calera'!M24+Concón!M24+Hijuelas!M24+'La Cruz'!M24+'La Ligua'!M24+Nogales!M24+Olmue!M24+Papudo!M24+Petorca!M24+Puchuncavi!M24+Quillota!M24+Quilpue!M24+Quintero!M24+'Villa Alemana'!M24+'Viña del Mar'!M24+Zapallar!M24</f>
        <v>14200430</v>
      </c>
      <c r="N25" s="250">
        <f>+Cabildo!N24+'La Calera'!N24+Concón!N24+Hijuelas!N24+'La Cruz'!N24+'La Ligua'!N24+Nogales!N24+Olmue!N24+Papudo!N24+Petorca!N24+Puchuncavi!N24+Quillota!N24+Quilpue!N24+Quintero!N24+'Villa Alemana'!N24+'Viña del Mar'!N24+Zapallar!N24</f>
        <v>14200430</v>
      </c>
      <c r="O25" s="250">
        <f>+Cabildo!O24+'La Calera'!O24+Concón!O24+Hijuelas!O24+'La Cruz'!O24+'La Ligua'!O24+Nogales!O24+Olmue!O24+Papudo!O24+Petorca!O24+Puchuncavi!O24+Quillota!O24+Quilpue!O24+Quintero!O24+'Villa Alemana'!O24+'Viña del Mar'!O24+Zapallar!O24</f>
        <v>14200430</v>
      </c>
      <c r="P25" s="250">
        <f>+Cabildo!P24+'La Calera'!P24+Concón!P24+Hijuelas!P24+'La Cruz'!P24+'La Ligua'!P24+Nogales!P24+Olmue!P24+Papudo!P24+Petorca!P24+Puchuncavi!P24+Quillota!P24+Quilpue!P24+Quintero!P24+'Villa Alemana'!P24+'Viña del Mar'!P24+Zapallar!P24</f>
        <v>14200430</v>
      </c>
      <c r="Q25" s="250">
        <f>+Cabildo!Q24+'La Calera'!Q24+Concón!Q24+Hijuelas!Q24+'La Cruz'!Q24+'La Ligua'!Q24+Nogales!Q24+Olmue!Q24+Papudo!Q24+Petorca!Q24+Puchuncavi!Q24+Quillota!Q24+Quilpue!Q24+Quintero!Q24+'Villa Alemana'!Q24+'Viña del Mar'!Q24+Zapallar!Q24</f>
        <v>14200430</v>
      </c>
      <c r="R25" s="250">
        <f>+Cabildo!R24+'La Calera'!R24+Concón!R24+Hijuelas!R24+'La Cruz'!R24+'La Ligua'!R24+Nogales!R24+Olmue!R24+Papudo!R24+Petorca!R24+Puchuncavi!R24+Quillota!R24+Quilpue!R24+Quintero!R24+'Villa Alemana'!R24+'Viña del Mar'!R24+Zapallar!R24</f>
        <v>14200430</v>
      </c>
      <c r="S25" s="250">
        <f>+Cabildo!S24+'La Calera'!S24+Concón!S24+Hijuelas!S24+'La Cruz'!S24+'La Ligua'!S24+Nogales!S24+Olmue!S24+Papudo!S24+Petorca!S24+Puchuncavi!S24+Quillota!S24+Quilpue!S24+Quintero!S24+'Villa Alemana'!S24+'Viña del Mar'!S24+Zapallar!S24</f>
        <v>14200430</v>
      </c>
      <c r="T25" s="514">
        <f>+Cabildo!T24+'La Calera'!T24+Concón!T24+Hijuelas!T24+'La Cruz'!T24+'La Ligua'!T24+Nogales!T24+Olmue!T24+Papudo!T24+Petorca!T24+Puchuncavi!T24+Quillota!T24+Quilpue!T24+Quintero!T24+'Villa Alemana'!T24+'Viña del Mar'!T24+Zapallar!T24</f>
        <v>14200430</v>
      </c>
      <c r="U25" s="235">
        <f>+Cabildo!U24+'La Calera'!U24+Concón!U24+Hijuelas!U24+'La Cruz'!U24+'La Ligua'!U24+Nogales!U24+Olmue!U24+Papudo!U24+Petorca!U24+Puchuncavi!U24+Quillota!U24+Quilpue!U24+Quintero!U24+'Villa Alemana'!U24+'Viña del Mar'!U24+Zapallar!U24</f>
        <v>14200430</v>
      </c>
      <c r="V25" s="206">
        <f>+Cabildo!V24+'La Calera'!V24+Concón!V24+Hijuelas!V24+'La Cruz'!V24+'La Ligua'!V24+Nogales!V24+Olmue!V24+Papudo!V24+Petorca!V24+Puchuncavi!V24+Quillota!V24+Quilpue!V24+Quintero!V24+'Villa Alemana'!V24+'Viña del Mar'!V24+Zapallar!V24</f>
        <v>14200430</v>
      </c>
      <c r="W25" s="206">
        <f>+Cabildo!W24+'La Calera'!W24+Concón!W24+Hijuelas!W24+'La Cruz'!W24+'La Ligua'!W24+Nogales!W24+Olmue!W24+Papudo!W24+Petorca!W24+Puchuncavi!W24+Quillota!W24+Quilpue!W24+Quintero!W24+'Villa Alemana'!W24+'Viña del Mar'!W24+Zapallar!W24</f>
        <v>14200430</v>
      </c>
      <c r="X25" s="206">
        <f>+Cabildo!X24+'La Calera'!X24+Concón!X24+Hijuelas!X24+'La Cruz'!X24+'La Ligua'!X24+Nogales!X24+Olmue!X24+Papudo!X24+Petorca!X24+Puchuncavi!X24+Quillota!X24+Quilpue!X24+Quintero!X24+'Villa Alemana'!X24+'Viña del Mar'!X24+Zapallar!X24</f>
        <v>14200430</v>
      </c>
      <c r="Y25" s="206">
        <f>+Cabildo!Y24+'La Calera'!Y24+Concón!Y24+Hijuelas!Y24+'La Cruz'!Y24+'La Ligua'!Y24+Nogales!Y24+Olmue!Y24+Papudo!Y24+Petorca!Y24+Puchuncavi!Y24+Quillota!Y24+Quilpue!Y24+Quintero!Y24+'Villa Alemana'!Y24+'Viña del Mar'!Y24+Zapallar!Y24</f>
        <v>14200430</v>
      </c>
      <c r="Z25" s="206">
        <f>+Cabildo!Z24+'La Calera'!Z24+Concón!Z24+Hijuelas!Z24+'La Cruz'!Z24+'La Ligua'!Z24+Nogales!Z24+Olmue!Z24+Papudo!Z24+Petorca!Z24+Puchuncavi!Z24+Quillota!Z24+Quilpue!Z24+Quintero!Z24+'Villa Alemana'!Z24+'Viña del Mar'!Z24+Zapallar!Z24</f>
        <v>14200430</v>
      </c>
      <c r="AA25" s="206">
        <f>+Cabildo!AA24+'La Calera'!AA24+Concón!AA24+Hijuelas!AA24+'La Cruz'!AA24+'La Ligua'!AA24+Nogales!AA24+Olmue!AA24+Papudo!AA24+Petorca!AA24+Puchuncavi!AA24+Quillota!AA24+Quilpue!AA24+Quintero!AA24+'Villa Alemana'!AA24+'Viña del Mar'!AA24+Zapallar!AA24</f>
        <v>14200430</v>
      </c>
      <c r="AB25" s="206">
        <f>+Cabildo!AB24+'La Calera'!AB24+Concón!AB24+Hijuelas!AB24+'La Cruz'!AB24+'La Ligua'!AB24+Nogales!AB24+Olmue!AB24+Papudo!AB24+Petorca!AB24+Puchuncavi!AB24+Quillota!AB24+Quilpue!AB24+Quintero!AB24+'Villa Alemana'!AB24+'Viña del Mar'!AB24+Zapallar!AB24</f>
        <v>14200430</v>
      </c>
      <c r="AC25" s="206">
        <f>+Cabildo!AC24+'La Calera'!AC24+Concón!AC24+Hijuelas!AC24+'La Cruz'!AC24+'La Ligua'!AC24+Nogales!AC24+Olmue!AC24+Papudo!AC24+Petorca!AC24+Puchuncavi!AC24+Quillota!AC24+Quilpue!AC24+Quintero!AC24+'Villa Alemana'!AC24+'Viña del Mar'!AC24+Zapallar!AC24</f>
        <v>14200430</v>
      </c>
      <c r="AD25" s="206">
        <f>+Cabildo!AD24+'La Calera'!AD24+Concón!AD24+Hijuelas!AD24+'La Cruz'!AD24+'La Ligua'!AD24+Nogales!AD24+Olmue!AD24+Papudo!AD24+Petorca!AD24+Puchuncavi!AD24+Quillota!AD24+Quilpue!AD24+Quintero!AD24+'Villa Alemana'!AD24+'Viña del Mar'!AD24+Zapallar!AD24</f>
        <v>14200430</v>
      </c>
      <c r="AE25" s="206">
        <f>+Cabildo!AE24+'La Calera'!AE24+Concón!AE24+Hijuelas!AE24+'La Cruz'!AE24+'La Ligua'!AE24+Nogales!AE24+Olmue!AE24+Papudo!AE24+Petorca!AE24+Puchuncavi!AE24+Quillota!AE24+Quilpue!AE24+Quintero!AE24+'Villa Alemana'!AE24+'Viña del Mar'!AE24+Zapallar!AE24</f>
        <v>14200430</v>
      </c>
      <c r="AF25" s="221">
        <f>+Cabildo!AF24+'La Calera'!AF24+Concón!AF24+Hijuelas!AF24+'La Cruz'!AF24+'La Ligua'!AF24+Nogales!AF24+Olmue!AF24+Papudo!AF24+Petorca!AF24+Puchuncavi!AF24+Quillota!AF24+Quilpue!AF24+Quintero!AF24+'Villa Alemana'!AF24+'Viña del Mar'!AF24+Zapallar!AF24</f>
        <v>14200430</v>
      </c>
      <c r="AG25" s="291">
        <f t="shared" si="1"/>
        <v>170405160</v>
      </c>
      <c r="AH25" s="123">
        <f>+H25-AG25</f>
        <v>0</v>
      </c>
    </row>
    <row r="26" spans="1:34" ht="15.75" thickBot="1">
      <c r="A26" s="11">
        <v>8</v>
      </c>
      <c r="B26" s="7" t="s">
        <v>35</v>
      </c>
      <c r="C26" s="147" t="s">
        <v>29</v>
      </c>
      <c r="D26" s="21">
        <f>+Cabildo!D25+'La Calera'!D25+Concón!D25+Hijuelas!D25+'La Cruz'!D25+'La Ligua'!D25+Nogales!D25+Olmue!D25+Papudo!D25+Petorca!D25+Puchuncavi!D25+Quillota!D25+Quilpue!D25+Quintero!D25+'Villa Alemana'!D25+'Viña del Mar'!D25+Zapallar!D25</f>
        <v>211527360</v>
      </c>
      <c r="E26" s="15"/>
      <c r="F26" s="14"/>
      <c r="G26" s="16"/>
      <c r="H26" s="322">
        <f t="shared" si="0"/>
        <v>211527360.10992</v>
      </c>
      <c r="I26" s="250">
        <f>+Cabildo!I25+'La Calera'!I25+Concón!I25+Hijuelas!I25+'La Cruz'!I25+'La Ligua'!I25+Nogales!I25+Olmue!I25+Papudo!I25+Petorca!I25+Puchuncavi!I25+Quillota!I25+Quilpue!I25+Quintero!I25+'Villa Alemana'!I25+'Viña del Mar'!I25+Zapallar!I25</f>
        <v>17627280</v>
      </c>
      <c r="J26" s="250">
        <f>+Cabildo!J25+'La Calera'!J25+Concón!J25+Hijuelas!J25+'La Cruz'!J25+'La Ligua'!J25+Nogales!J25+Olmue!J25+Papudo!J25+Petorca!J25+Puchuncavi!J25+Quillota!J25+Quilpue!J25+Quintero!J25+'Villa Alemana'!J25+'Viña del Mar'!J25+Zapallar!J25</f>
        <v>17627280</v>
      </c>
      <c r="K26" s="250">
        <f>+Cabildo!K25+'La Calera'!K25+Concón!K25+Hijuelas!K25+'La Cruz'!K25+'La Ligua'!K25+Nogales!K25+Olmue!K25+Papudo!K25+Petorca!K25+Puchuncavi!K25+Quillota!K25+Quilpue!K25+Quintero!K25+'Villa Alemana'!K25+'Viña del Mar'!K25+Zapallar!K25</f>
        <v>17627280.109919999</v>
      </c>
      <c r="L26" s="250">
        <f>+Cabildo!L25+'La Calera'!L25+Concón!L25+Hijuelas!L25+'La Cruz'!L25+'La Ligua'!L25+Nogales!L25+Olmue!L25+Papudo!L25+Petorca!L25+Puchuncavi!L25+Quillota!L25+Quilpue!L25+Quintero!L25+'Villa Alemana'!L25+'Viña del Mar'!L25+Zapallar!L25</f>
        <v>17627280</v>
      </c>
      <c r="M26" s="250">
        <f>+Cabildo!M25+'La Calera'!M25+Concón!M25+Hijuelas!M25+'La Cruz'!M25+'La Ligua'!M25+Nogales!M25+Olmue!M25+Papudo!M25+Petorca!M25+Puchuncavi!M25+Quillota!M25+Quilpue!M25+Quintero!M25+'Villa Alemana'!M25+'Viña del Mar'!M25+Zapallar!M25</f>
        <v>17627280</v>
      </c>
      <c r="N26" s="250">
        <f>+Cabildo!N25+'La Calera'!N25+Concón!N25+Hijuelas!N25+'La Cruz'!N25+'La Ligua'!N25+Nogales!N25+Olmue!N25+Papudo!N25+Petorca!N25+Puchuncavi!N25+Quillota!N25+Quilpue!N25+Quintero!N25+'Villa Alemana'!N25+'Viña del Mar'!N25+Zapallar!N25</f>
        <v>17627280</v>
      </c>
      <c r="O26" s="250">
        <f>+Cabildo!O25+'La Calera'!O25+Concón!O25+Hijuelas!O25+'La Cruz'!O25+'La Ligua'!O25+Nogales!O25+Olmue!O25+Papudo!O25+Petorca!O25+Puchuncavi!O25+Quillota!O25+Quilpue!O25+Quintero!O25+'Villa Alemana'!O25+'Viña del Mar'!O25+Zapallar!O25</f>
        <v>17627280</v>
      </c>
      <c r="P26" s="250">
        <f>+Cabildo!P25+'La Calera'!P25+Concón!P25+Hijuelas!P25+'La Cruz'!P25+'La Ligua'!P25+Nogales!P25+Olmue!P25+Papudo!P25+Petorca!P25+Puchuncavi!P25+Quillota!P25+Quilpue!P25+Quintero!P25+'Villa Alemana'!P25+'Viña del Mar'!P25+Zapallar!P25</f>
        <v>17627280</v>
      </c>
      <c r="Q26" s="250">
        <f>+Cabildo!Q25+'La Calera'!Q25+Concón!Q25+Hijuelas!Q25+'La Cruz'!Q25+'La Ligua'!Q25+Nogales!Q25+Olmue!Q25+Papudo!Q25+Petorca!Q25+Puchuncavi!Q25+Quillota!Q25+Quilpue!Q25+Quintero!Q25+'Villa Alemana'!Q25+'Viña del Mar'!Q25+Zapallar!Q25</f>
        <v>17627280</v>
      </c>
      <c r="R26" s="250">
        <f>+Cabildo!R25+'La Calera'!R25+Concón!R25+Hijuelas!R25+'La Cruz'!R25+'La Ligua'!R25+Nogales!R25+Olmue!R25+Papudo!R25+Petorca!R25+Puchuncavi!R25+Quillota!R25+Quilpue!R25+Quintero!R25+'Villa Alemana'!R25+'Viña del Mar'!R25+Zapallar!R25</f>
        <v>17627280</v>
      </c>
      <c r="S26" s="250">
        <f>+Cabildo!S25+'La Calera'!S25+Concón!S25+Hijuelas!S25+'La Cruz'!S25+'La Ligua'!S25+Nogales!S25+Olmue!S25+Papudo!S25+Petorca!S25+Puchuncavi!S25+Quillota!S25+Quilpue!S25+Quintero!S25+'Villa Alemana'!S25+'Viña del Mar'!S25+Zapallar!S25</f>
        <v>17627280</v>
      </c>
      <c r="T26" s="514">
        <f>+Cabildo!T25+'La Calera'!T25+Concón!T25+Hijuelas!T25+'La Cruz'!T25+'La Ligua'!T25+Nogales!T25+Olmue!T25+Papudo!T25+Petorca!T25+Puchuncavi!T25+Quillota!T25+Quilpue!T25+Quintero!T25+'Villa Alemana'!T25+'Viña del Mar'!T25+Zapallar!T25</f>
        <v>17627280</v>
      </c>
      <c r="U26" s="235">
        <f>+Cabildo!U25+'La Calera'!U25+Concón!U25+Hijuelas!U25+'La Cruz'!U25+'La Ligua'!U25+Nogales!U25+Olmue!U25+Papudo!U25+Petorca!U25+Puchuncavi!U25+Quillota!U25+Quilpue!U25+Quintero!U25+'Villa Alemana'!U25+'Viña del Mar'!U25+Zapallar!U25</f>
        <v>17627280</v>
      </c>
      <c r="V26" s="206">
        <f>+Cabildo!V25+'La Calera'!V25+Concón!V25+Hijuelas!V25+'La Cruz'!V25+'La Ligua'!V25+Nogales!V25+Olmue!V25+Papudo!V25+Petorca!V25+Puchuncavi!V25+Quillota!V25+Quilpue!V25+Quintero!V25+'Villa Alemana'!V25+'Viña del Mar'!V25+Zapallar!V25</f>
        <v>17627280</v>
      </c>
      <c r="W26" s="206">
        <f>+Cabildo!W25+'La Calera'!W25+Concón!W25+Hijuelas!W25+'La Cruz'!W25+'La Ligua'!W25+Nogales!W25+Olmue!W25+Papudo!W25+Petorca!W25+Puchuncavi!W25+Quillota!W25+Quilpue!W25+Quintero!W25+'Villa Alemana'!W25+'Viña del Mar'!W25+Zapallar!W25</f>
        <v>17627280</v>
      </c>
      <c r="X26" s="206">
        <f>+Cabildo!X25+'La Calera'!X25+Concón!X25+Hijuelas!X25+'La Cruz'!X25+'La Ligua'!X25+Nogales!X25+Olmue!X25+Papudo!X25+Petorca!X25+Puchuncavi!X25+Quillota!X25+Quilpue!X25+Quintero!X25+'Villa Alemana'!X25+'Viña del Mar'!X25+Zapallar!X25</f>
        <v>17627280</v>
      </c>
      <c r="Y26" s="206">
        <f>+Cabildo!Y25+'La Calera'!Y25+Concón!Y25+Hijuelas!Y25+'La Cruz'!Y25+'La Ligua'!Y25+Nogales!Y25+Olmue!Y25+Papudo!Y25+Petorca!Y25+Puchuncavi!Y25+Quillota!Y25+Quilpue!Y25+Quintero!Y25+'Villa Alemana'!Y25+'Viña del Mar'!Y25+Zapallar!Y25</f>
        <v>17627280</v>
      </c>
      <c r="Z26" s="206">
        <f>+Cabildo!Z25+'La Calera'!Z25+Concón!Z25+Hijuelas!Z25+'La Cruz'!Z25+'La Ligua'!Z25+Nogales!Z25+Olmue!Z25+Papudo!Z25+Petorca!Z25+Puchuncavi!Z25+Quillota!Z25+Quilpue!Z25+Quintero!Z25+'Villa Alemana'!Z25+'Viña del Mar'!Z25+Zapallar!Z25</f>
        <v>17627280</v>
      </c>
      <c r="AA26" s="206">
        <f>+Cabildo!AA25+'La Calera'!AA25+Concón!AA25+Hijuelas!AA25+'La Cruz'!AA25+'La Ligua'!AA25+Nogales!AA25+Olmue!AA25+Papudo!AA25+Petorca!AA25+Puchuncavi!AA25+Quillota!AA25+Quilpue!AA25+Quintero!AA25+'Villa Alemana'!AA25+'Viña del Mar'!AA25+Zapallar!AA25</f>
        <v>17627280</v>
      </c>
      <c r="AB26" s="206">
        <f>+Cabildo!AB25+'La Calera'!AB25+Concón!AB25+Hijuelas!AB25+'La Cruz'!AB25+'La Ligua'!AB25+Nogales!AB25+Olmue!AB25+Papudo!AB25+Petorca!AB25+Puchuncavi!AB25+Quillota!AB25+Quilpue!AB25+Quintero!AB25+'Villa Alemana'!AB25+'Viña del Mar'!AB25+Zapallar!AB25</f>
        <v>17627280</v>
      </c>
      <c r="AC26" s="206">
        <f>+Cabildo!AC25+'La Calera'!AC25+Concón!AC25+Hijuelas!AC25+'La Cruz'!AC25+'La Ligua'!AC25+Nogales!AC25+Olmue!AC25+Papudo!AC25+Petorca!AC25+Puchuncavi!AC25+Quillota!AC25+Quilpue!AC25+Quintero!AC25+'Villa Alemana'!AC25+'Viña del Mar'!AC25+Zapallar!AC25</f>
        <v>17627280</v>
      </c>
      <c r="AD26" s="206">
        <f>+Cabildo!AD25+'La Calera'!AD25+Concón!AD25+Hijuelas!AD25+'La Cruz'!AD25+'La Ligua'!AD25+Nogales!AD25+Olmue!AD25+Papudo!AD25+Petorca!AD25+Puchuncavi!AD25+Quillota!AD25+Quilpue!AD25+Quintero!AD25+'Villa Alemana'!AD25+'Viña del Mar'!AD25+Zapallar!AD25</f>
        <v>17627280</v>
      </c>
      <c r="AE26" s="206">
        <f>+Cabildo!AE25+'La Calera'!AE25+Concón!AE25+Hijuelas!AE25+'La Cruz'!AE25+'La Ligua'!AE25+Nogales!AE25+Olmue!AE25+Papudo!AE25+Petorca!AE25+Puchuncavi!AE25+Quillota!AE25+Quilpue!AE25+Quintero!AE25+'Villa Alemana'!AE25+'Viña del Mar'!AE25+Zapallar!AE25</f>
        <v>17627280</v>
      </c>
      <c r="AF26" s="221">
        <f>+Cabildo!AF25+'La Calera'!AF25+Concón!AF25+Hijuelas!AF25+'La Cruz'!AF25+'La Ligua'!AF25+Nogales!AF25+Olmue!AF25+Papudo!AF25+Petorca!AF25+Puchuncavi!AF25+Quillota!AF25+Quilpue!AF25+Quintero!AF25+'Villa Alemana'!AF25+'Viña del Mar'!AF25+Zapallar!AF25</f>
        <v>17627280</v>
      </c>
      <c r="AG26" s="291">
        <f t="shared" si="1"/>
        <v>211527360</v>
      </c>
      <c r="AH26" s="123">
        <f t="shared" si="2"/>
        <v>0.10991999506950378</v>
      </c>
    </row>
    <row r="27" spans="1:34" ht="15.75" thickBot="1">
      <c r="A27" s="51">
        <v>9</v>
      </c>
      <c r="B27" s="52" t="s">
        <v>34</v>
      </c>
      <c r="C27" s="148" t="s">
        <v>29</v>
      </c>
      <c r="D27" s="21">
        <f>+Cabildo!D26+'La Calera'!D26+Concón!D26+Hijuelas!D26+'La Cruz'!D26+'La Ligua'!D26+Nogales!D26+Olmue!D26+Papudo!D26+Petorca!D26+Puchuncavi!D26+Quillota!D26+Quilpue!D26+Quintero!D26+'Villa Alemana'!D26+'Viña del Mar'!D26+Zapallar!D26</f>
        <v>171035268</v>
      </c>
      <c r="E27" s="15"/>
      <c r="F27" s="14"/>
      <c r="G27" s="16"/>
      <c r="H27" s="322">
        <f t="shared" si="0"/>
        <v>171035268</v>
      </c>
      <c r="I27" s="250">
        <f>+Cabildo!I26+'La Calera'!I26+Concón!I26+Hijuelas!I26+'La Cruz'!I26+'La Ligua'!I26+Nogales!I26+Olmue!I26+Papudo!I26+Petorca!I26+Puchuncavi!I26+Quillota!I26+Quilpue!I26+Quintero!I26+'Villa Alemana'!I26+'Viña del Mar'!I26+Zapallar!I26</f>
        <v>14252939</v>
      </c>
      <c r="J27" s="250">
        <f>+Cabildo!J26+'La Calera'!J26+Concón!J26+Hijuelas!J26+'La Cruz'!J26+'La Ligua'!J26+Nogales!J26+Olmue!J26+Papudo!J26+Petorca!J26+Puchuncavi!J26+Quillota!J26+Quilpue!J26+Quintero!J26+'Villa Alemana'!J26+'Viña del Mar'!J26+Zapallar!J26</f>
        <v>14252939</v>
      </c>
      <c r="K27" s="250">
        <f>+Cabildo!K26+'La Calera'!K26+Concón!K26+Hijuelas!K26+'La Cruz'!K26+'La Ligua'!K26+Nogales!K26+Olmue!K26+Papudo!K26+Petorca!K26+Puchuncavi!K26+Quillota!K26+Quilpue!K26+Quintero!K26+'Villa Alemana'!K26+'Viña del Mar'!K26+Zapallar!K26</f>
        <v>14252939</v>
      </c>
      <c r="L27" s="250">
        <f>+Cabildo!L26+'La Calera'!L26+Concón!L26+Hijuelas!L26+'La Cruz'!L26+'La Ligua'!L26+Nogales!L26+Olmue!L26+Papudo!L26+Petorca!L26+Puchuncavi!L26+Quillota!L26+Quilpue!L26+Quintero!L26+'Villa Alemana'!L26+'Viña del Mar'!L26+Zapallar!L26</f>
        <v>14252939</v>
      </c>
      <c r="M27" s="250">
        <f>+Cabildo!M26+'La Calera'!M26+Concón!M26+Hijuelas!M26+'La Cruz'!M26+'La Ligua'!M26+Nogales!M26+Olmue!M26+Papudo!M26+Petorca!M26+Puchuncavi!M26+Quillota!M26+Quilpue!M26+Quintero!M26+'Villa Alemana'!M26+'Viña del Mar'!M26+Zapallar!M26</f>
        <v>14252939</v>
      </c>
      <c r="N27" s="250">
        <f>+Cabildo!N26+'La Calera'!N26+Concón!N26+Hijuelas!N26+'La Cruz'!N26+'La Ligua'!N26+Nogales!N26+Olmue!N26+Papudo!N26+Petorca!N26+Puchuncavi!N26+Quillota!N26+Quilpue!N26+Quintero!N26+'Villa Alemana'!N26+'Viña del Mar'!N26+Zapallar!N26</f>
        <v>14252939</v>
      </c>
      <c r="O27" s="250">
        <f>+Cabildo!O26+'La Calera'!O26+Concón!O26+Hijuelas!O26+'La Cruz'!O26+'La Ligua'!O26+Nogales!O26+Olmue!O26+Papudo!O26+Petorca!O26+Puchuncavi!O26+Quillota!O26+Quilpue!O26+Quintero!O26+'Villa Alemana'!O26+'Viña del Mar'!O26+Zapallar!O26</f>
        <v>14252939</v>
      </c>
      <c r="P27" s="250">
        <f>+Cabildo!P26+'La Calera'!P26+Concón!P26+Hijuelas!P26+'La Cruz'!P26+'La Ligua'!P26+Nogales!P26+Olmue!P26+Papudo!P26+Petorca!P26+Puchuncavi!P26+Quillota!P26+Quilpue!P26+Quintero!P26+'Villa Alemana'!P26+'Viña del Mar'!P26+Zapallar!P26</f>
        <v>14252939</v>
      </c>
      <c r="Q27" s="250">
        <f>+Cabildo!Q26+'La Calera'!Q26+Concón!Q26+Hijuelas!Q26+'La Cruz'!Q26+'La Ligua'!Q26+Nogales!Q26+Olmue!Q26+Papudo!Q26+Petorca!Q26+Puchuncavi!Q26+Quillota!Q26+Quilpue!Q26+Quintero!Q26+'Villa Alemana'!Q26+'Viña del Mar'!Q26+Zapallar!Q26</f>
        <v>14252939</v>
      </c>
      <c r="R27" s="250">
        <f>+Cabildo!R26+'La Calera'!R26+Concón!R26+Hijuelas!R26+'La Cruz'!R26+'La Ligua'!R26+Nogales!R26+Olmue!R26+Papudo!R26+Petorca!R26+Puchuncavi!R26+Quillota!R26+Quilpue!R26+Quintero!R26+'Villa Alemana'!R26+'Viña del Mar'!R26+Zapallar!R26</f>
        <v>14252939</v>
      </c>
      <c r="S27" s="250">
        <f>+Cabildo!S26+'La Calera'!S26+Concón!S26+Hijuelas!S26+'La Cruz'!S26+'La Ligua'!S26+Nogales!S26+Olmue!S26+Papudo!S26+Petorca!S26+Puchuncavi!S26+Quillota!S26+Quilpue!S26+Quintero!S26+'Villa Alemana'!S26+'Viña del Mar'!S26+Zapallar!S26</f>
        <v>14252939</v>
      </c>
      <c r="T27" s="514">
        <f>+Cabildo!T26+'La Calera'!T26+Concón!T26+Hijuelas!T26+'La Cruz'!T26+'La Ligua'!T26+Nogales!T26+Olmue!T26+Papudo!T26+Petorca!T26+Puchuncavi!T26+Quillota!T26+Quilpue!T26+Quintero!T26+'Villa Alemana'!T26+'Viña del Mar'!T26+Zapallar!T26</f>
        <v>14252939</v>
      </c>
      <c r="U27" s="235">
        <f>+Cabildo!U26+'La Calera'!U26+Concón!U26+Hijuelas!U26+'La Cruz'!U26+'La Ligua'!U26+Nogales!U26+Olmue!U26+Papudo!U26+Petorca!U26+Puchuncavi!U26+Quillota!U26+Quilpue!U26+Quintero!U26+'Villa Alemana'!U26+'Viña del Mar'!U26+Zapallar!U26</f>
        <v>14252939</v>
      </c>
      <c r="V27" s="206">
        <f>+Cabildo!V26+'La Calera'!V26+Concón!V26+Hijuelas!V26+'La Cruz'!V26+'La Ligua'!V26+Nogales!V26+Olmue!V26+Papudo!V26+Petorca!V26+Puchuncavi!V26+Quillota!V26+Quilpue!V26+Quintero!V26+'Villa Alemana'!V26+'Viña del Mar'!V26+Zapallar!V26</f>
        <v>14252939</v>
      </c>
      <c r="W27" s="206">
        <f>+Cabildo!W26+'La Calera'!W26+Concón!W26+Hijuelas!W26+'La Cruz'!W26+'La Ligua'!W26+Nogales!W26+Olmue!W26+Papudo!W26+Petorca!W26+Puchuncavi!W26+Quillota!W26+Quilpue!W26+Quintero!W26+'Villa Alemana'!W26+'Viña del Mar'!W26+Zapallar!W26</f>
        <v>14252939</v>
      </c>
      <c r="X27" s="206">
        <f>+Cabildo!X26+'La Calera'!X26+Concón!X26+Hijuelas!X26+'La Cruz'!X26+'La Ligua'!X26+Nogales!X26+Olmue!X26+Papudo!X26+Petorca!X26+Puchuncavi!X26+Quillota!X26+Quilpue!X26+Quintero!X26+'Villa Alemana'!X26+'Viña del Mar'!X26+Zapallar!X26</f>
        <v>14252939</v>
      </c>
      <c r="Y27" s="206">
        <f>+Cabildo!Y26+'La Calera'!Y26+Concón!Y26+Hijuelas!Y26+'La Cruz'!Y26+'La Ligua'!Y26+Nogales!Y26+Olmue!Y26+Papudo!Y26+Petorca!Y26+Puchuncavi!Y26+Quillota!Y26+Quilpue!Y26+Quintero!Y26+'Villa Alemana'!Y26+'Viña del Mar'!Y26+Zapallar!Y26</f>
        <v>14252939</v>
      </c>
      <c r="Z27" s="206">
        <f>+Cabildo!Z26+'La Calera'!Z26+Concón!Z26+Hijuelas!Z26+'La Cruz'!Z26+'La Ligua'!Z26+Nogales!Z26+Olmue!Z26+Papudo!Z26+Petorca!Z26+Puchuncavi!Z26+Quillota!Z26+Quilpue!Z26+Quintero!Z26+'Villa Alemana'!Z26+'Viña del Mar'!Z26+Zapallar!Z26</f>
        <v>14252939</v>
      </c>
      <c r="AA27" s="206">
        <f>+Cabildo!AA26+'La Calera'!AA26+Concón!AA26+Hijuelas!AA26+'La Cruz'!AA26+'La Ligua'!AA26+Nogales!AA26+Olmue!AA26+Papudo!AA26+Petorca!AA26+Puchuncavi!AA26+Quillota!AA26+Quilpue!AA26+Quintero!AA26+'Villa Alemana'!AA26+'Viña del Mar'!AA26+Zapallar!AA26</f>
        <v>14252939</v>
      </c>
      <c r="AB27" s="206">
        <f>+Cabildo!AB26+'La Calera'!AB26+Concón!AB26+Hijuelas!AB26+'La Cruz'!AB26+'La Ligua'!AB26+Nogales!AB26+Olmue!AB26+Papudo!AB26+Petorca!AB26+Puchuncavi!AB26+Quillota!AB26+Quilpue!AB26+Quintero!AB26+'Villa Alemana'!AB26+'Viña del Mar'!AB26+Zapallar!AB26</f>
        <v>14252939</v>
      </c>
      <c r="AC27" s="206">
        <f>+Cabildo!AC26+'La Calera'!AC26+Concón!AC26+Hijuelas!AC26+'La Cruz'!AC26+'La Ligua'!AC26+Nogales!AC26+Olmue!AC26+Papudo!AC26+Petorca!AC26+Puchuncavi!AC26+Quillota!AC26+Quilpue!AC26+Quintero!AC26+'Villa Alemana'!AC26+'Viña del Mar'!AC26+Zapallar!AC26</f>
        <v>14252939</v>
      </c>
      <c r="AD27" s="206">
        <f>+Cabildo!AD26+'La Calera'!AD26+Concón!AD26+Hijuelas!AD26+'La Cruz'!AD26+'La Ligua'!AD26+Nogales!AD26+Olmue!AD26+Papudo!AD26+Petorca!AD26+Puchuncavi!AD26+Quillota!AD26+Quilpue!AD26+Quintero!AD26+'Villa Alemana'!AD26+'Viña del Mar'!AD26+Zapallar!AD26</f>
        <v>14252939</v>
      </c>
      <c r="AE27" s="206">
        <f>+Cabildo!AE26+'La Calera'!AE26+Concón!AE26+Hijuelas!AE26+'La Cruz'!AE26+'La Ligua'!AE26+Nogales!AE26+Olmue!AE26+Papudo!AE26+Petorca!AE26+Puchuncavi!AE26+Quillota!AE26+Quilpue!AE26+Quintero!AE26+'Villa Alemana'!AE26+'Viña del Mar'!AE26+Zapallar!AE26</f>
        <v>14252939</v>
      </c>
      <c r="AF27" s="221">
        <f>+Cabildo!AF26+'La Calera'!AF26+Concón!AF26+Hijuelas!AF26+'La Cruz'!AF26+'La Ligua'!AF26+Nogales!AF26+Olmue!AF26+Papudo!AF26+Petorca!AF26+Puchuncavi!AF26+Quillota!AF26+Quilpue!AF26+Quintero!AF26+'Villa Alemana'!AF26+'Viña del Mar'!AF26+Zapallar!AF26</f>
        <v>14252939</v>
      </c>
      <c r="AG27" s="291">
        <f t="shared" si="1"/>
        <v>171035268</v>
      </c>
      <c r="AH27" s="123">
        <f t="shared" si="2"/>
        <v>0</v>
      </c>
    </row>
    <row r="28" spans="1:34" ht="15.75" thickBot="1">
      <c r="A28" s="51">
        <v>12</v>
      </c>
      <c r="B28" s="52" t="s">
        <v>202</v>
      </c>
      <c r="C28" s="148" t="s">
        <v>29</v>
      </c>
      <c r="D28" s="21"/>
      <c r="E28" s="15"/>
      <c r="F28" s="14"/>
      <c r="G28" s="16"/>
      <c r="H28" s="322">
        <f t="shared" si="0"/>
        <v>850292844</v>
      </c>
      <c r="I28" s="250">
        <f>+Cabildo!I27+'La Calera'!I27+Concón!I27+Hijuelas!I27+'La Cruz'!I27+'La Ligua'!I27+Nogales!I27+Olmue!I27+Papudo!I27+Petorca!I27+Puchuncavi!I27+Quillota!I27+Quilpue!I27+Quintero!I27+'Villa Alemana'!I27+'Viña del Mar'!I27+Zapallar!I27</f>
        <v>0</v>
      </c>
      <c r="J28" s="250">
        <f>+Cabildo!J27+'La Calera'!J27+Concón!J27+Hijuelas!J27+'La Cruz'!J27+'La Ligua'!J27+Nogales!J27+Olmue!J27+Papudo!J27+Petorca!J27+Puchuncavi!J27+Quillota!J27+Quilpue!J27+Quintero!J27+'Villa Alemana'!J27+'Viña del Mar'!J27+Zapallar!J27</f>
        <v>0</v>
      </c>
      <c r="K28" s="250">
        <f>+Cabildo!K27+'La Calera'!K27+Concón!K27+Hijuelas!K27+'La Cruz'!K27+'La Ligua'!K27+Nogales!K27+Olmue!K27+Papudo!K27+Petorca!K27+Puchuncavi!K27+Quillota!K27+Quilpue!K27+Quintero!K27+'Villa Alemana'!K27+'Viña del Mar'!K27+Zapallar!K27</f>
        <v>0</v>
      </c>
      <c r="L28" s="250">
        <f>+Cabildo!L27+'La Calera'!L27+Concón!L27+Hijuelas!L27+'La Cruz'!L27+'La Ligua'!L27+Nogales!L27+Olmue!L27+Papudo!L27+Petorca!L27+Puchuncavi!L27+Quillota!L27+Quilpue!L27+Quintero!L27+'Villa Alemana'!L27+'Viña del Mar'!L27+Zapallar!L27</f>
        <v>0</v>
      </c>
      <c r="M28" s="250">
        <f>+Cabildo!M27+'La Calera'!M27+Concón!M27+Hijuelas!M27+'La Cruz'!M27+'La Ligua'!M27+Nogales!M27+Olmue!M27+Papudo!M27+Petorca!M27+Puchuncavi!M27+Quillota!M27+Quilpue!M27+Quintero!M27+'Villa Alemana'!M27+'Viña del Mar'!M27+Zapallar!M27</f>
        <v>0</v>
      </c>
      <c r="N28" s="250">
        <f>+Cabildo!N27+'La Calera'!N27+Concón!N27+Hijuelas!N27+'La Cruz'!N27+'La Ligua'!N27+Nogales!N27+Olmue!N27+Papudo!N27+Petorca!N27+Puchuncavi!N27+Quillota!N27+Quilpue!N27+Quintero!N27+'Villa Alemana'!N27+'Viña del Mar'!N27+Zapallar!N27</f>
        <v>0</v>
      </c>
      <c r="O28" s="250">
        <f>+Cabildo!O27+'La Calera'!O27+Concón!O27+Hijuelas!O27+'La Cruz'!O27+'La Ligua'!O27+Nogales!O27+Olmue!O27+Papudo!O27+Petorca!O27+Puchuncavi!O27+Quillota!O27+Quilpue!O27+Quintero!O27+'Villa Alemana'!O27+'Viña del Mar'!O27+Zapallar!O27</f>
        <v>420729298</v>
      </c>
      <c r="P28" s="250">
        <f>+Cabildo!P27+'La Calera'!P27+Concón!P27+Hijuelas!P27+'La Cruz'!P27+'La Ligua'!P27+Nogales!P27+Olmue!P27+Papudo!P27+Petorca!P27+Puchuncavi!P27+Quillota!P27+Quilpue!P27+Quintero!P27+'Villa Alemana'!P27+'Viña del Mar'!P27+Zapallar!P27</f>
        <v>177713656</v>
      </c>
      <c r="Q28" s="250">
        <f>+Cabildo!Q27+'La Calera'!Q27+Concón!Q27+Hijuelas!Q27+'La Cruz'!Q27+'La Ligua'!Q27+Nogales!Q27+Olmue!Q27+Papudo!Q27+Petorca!Q27+Puchuncavi!Q27+Quillota!Q27+Quilpue!Q27+Quintero!Q27+'Villa Alemana'!Q27+'Viña del Mar'!Q27+Zapallar!Q27</f>
        <v>227802375</v>
      </c>
      <c r="R28" s="250">
        <f>+Cabildo!R27+'La Calera'!R27+Concón!R27+Hijuelas!R27+'La Cruz'!R27+'La Ligua'!R27+Nogales!R27+Olmue!R27+Papudo!R27+Petorca!R27+Puchuncavi!R27+Quillota!R27+Quilpue!R27+Quintero!R27+'Villa Alemana'!R27+'Viña del Mar'!R27+Zapallar!R27</f>
        <v>24047515</v>
      </c>
      <c r="S28" s="250">
        <f>+Cabildo!S27+'La Calera'!S27+Concón!S27+Hijuelas!S27+'La Cruz'!S27+'La Ligua'!S27+Nogales!S27+Olmue!S27+Papudo!S27+Petorca!S27+Puchuncavi!S27+Quillota!S27+Quilpue!S27+Quintero!S27+'Villa Alemana'!S27+'Viña del Mar'!S27+Zapallar!S27</f>
        <v>0</v>
      </c>
      <c r="T28" s="514">
        <f>+Cabildo!T27+'La Calera'!T27+Concón!T27+Hijuelas!T27+'La Cruz'!T27+'La Ligua'!T27+Nogales!T27+Olmue!T27+Papudo!T27+Petorca!T27+Puchuncavi!T27+Quillota!T27+Quilpue!T27+Quintero!T27+'Villa Alemana'!T27+'Viña del Mar'!T27+Zapallar!T27</f>
        <v>0</v>
      </c>
      <c r="U28" s="235">
        <f>+Cabildo!U27+'La Calera'!U27+Concón!U27+Hijuelas!U27+'La Cruz'!U27+'La Ligua'!U27+Nogales!U27+Olmue!U27+Papudo!U27+Petorca!U27+Puchuncavi!U27+Quillota!U27+Quilpue!U27+Quintero!U27+'Villa Alemana'!U27+'Viña del Mar'!U27+Zapallar!U27</f>
        <v>0</v>
      </c>
      <c r="V28" s="206">
        <f>+Cabildo!V27+'La Calera'!V27+Concón!V27+Hijuelas!V27+'La Cruz'!V27+'La Ligua'!V27+Nogales!V27+Olmue!V27+Papudo!V27+Petorca!V27+Puchuncavi!V27+Quillota!V27+Quilpue!V27+Quintero!V27+'Villa Alemana'!V27+'Viña del Mar'!V27+Zapallar!V27</f>
        <v>0</v>
      </c>
      <c r="W28" s="206">
        <f>+Cabildo!W27+'La Calera'!W27+Concón!W27+Hijuelas!W27+'La Cruz'!W27+'La Ligua'!W27+Nogales!W27+Olmue!W27+Papudo!W27+Petorca!W27+Puchuncavi!W27+Quillota!W27+Quilpue!W27+Quintero!W27+'Villa Alemana'!W27+'Viña del Mar'!W27+Zapallar!W27</f>
        <v>0</v>
      </c>
      <c r="X28" s="206">
        <f>+Cabildo!X27+'La Calera'!X27+Concón!X27+Hijuelas!X27+'La Cruz'!X27+'La Ligua'!X27+Nogales!X27+Olmue!X27+Papudo!X27+Petorca!X27+Puchuncavi!X27+Quillota!X27+Quilpue!X27+Quintero!X27+'Villa Alemana'!X27+'Viña del Mar'!X27+Zapallar!X27</f>
        <v>0</v>
      </c>
      <c r="Y28" s="206">
        <f>+Cabildo!Y27+'La Calera'!Y27+Concón!Y27+Hijuelas!Y27+'La Cruz'!Y27+'La Ligua'!Y27+Nogales!Y27+Olmue!Y27+Papudo!Y27+Petorca!Y27+Puchuncavi!Y27+Quillota!Y27+Quilpue!Y27+Quintero!Y27+'Villa Alemana'!Y27+'Viña del Mar'!Y27+Zapallar!Y27</f>
        <v>0</v>
      </c>
      <c r="Z28" s="206">
        <f>+Cabildo!Z27+'La Calera'!Z27+Concón!Z27+Hijuelas!Z27+'La Cruz'!Z27+'La Ligua'!Z27+Nogales!Z27+Olmue!Z27+Papudo!Z27+Petorca!Z27+Puchuncavi!Z27+Quillota!Z27+Quilpue!Z27+Quintero!Z27+'Villa Alemana'!Z27+'Viña del Mar'!Z27+Zapallar!Z27</f>
        <v>0</v>
      </c>
      <c r="AA28" s="206">
        <f>+Cabildo!AA27+'La Calera'!AA27+Concón!AA27+Hijuelas!AA27+'La Cruz'!AA27+'La Ligua'!AA27+Nogales!AA27+Olmue!AA27+Papudo!AA27+Petorca!AA27+Puchuncavi!AA27+Quillota!AA27+Quilpue!AA27+Quintero!AA27+'Villa Alemana'!AA27+'Viña del Mar'!AA27+Zapallar!AA27</f>
        <v>420729298</v>
      </c>
      <c r="AB28" s="206">
        <f>+Cabildo!AB27+'La Calera'!AB27+Concón!AB27+Hijuelas!AB27+'La Cruz'!AB27+'La Ligua'!AB27+Nogales!AB27+Olmue!AB27+Papudo!AB27+Petorca!AB27+Puchuncavi!AB27+Quillota!AB27+Quilpue!AB27+Quintero!AB27+'Villa Alemana'!AB27+'Viña del Mar'!AB27+Zapallar!AB27</f>
        <v>177713656</v>
      </c>
      <c r="AC28" s="206">
        <f>+Cabildo!AC27+'La Calera'!AC27+Concón!AC27+Hijuelas!AC27+'La Cruz'!AC27+'La Ligua'!AC27+Nogales!AC27+Olmue!AC27+Papudo!AC27+Petorca!AC27+Puchuncavi!AC27+Quillota!AC27+Quilpue!AC27+Quintero!AC27+'Villa Alemana'!AC27+'Viña del Mar'!AC27+Zapallar!AC27</f>
        <v>227802375</v>
      </c>
      <c r="AD28" s="206">
        <f>+Cabildo!AD27+'La Calera'!AD27+Concón!AD27+Hijuelas!AD27+'La Cruz'!AD27+'La Ligua'!AD27+Nogales!AD27+Olmue!AD27+Papudo!AD27+Petorca!AD27+Puchuncavi!AD27+Quillota!AD27+Quilpue!AD27+Quintero!AD27+'Villa Alemana'!AD27+'Viña del Mar'!AD27+Zapallar!AD27</f>
        <v>24047515</v>
      </c>
      <c r="AE28" s="206">
        <f>+Cabildo!AE27+'La Calera'!AE27+Concón!AE27+Hijuelas!AE27+'La Cruz'!AE27+'La Ligua'!AE27+Nogales!AE27+Olmue!AE27+Papudo!AE27+Petorca!AE27+Puchuncavi!AE27+Quillota!AE27+Quilpue!AE27+Quintero!AE27+'Villa Alemana'!AE27+'Viña del Mar'!AE27+Zapallar!AE27</f>
        <v>0</v>
      </c>
      <c r="AF28" s="221">
        <f>+Cabildo!AF27+'La Calera'!AF27+Concón!AF27+Hijuelas!AF27+'La Cruz'!AF27+'La Ligua'!AF27+Nogales!AF27+Olmue!AF27+Papudo!AF27+Petorca!AF27+Puchuncavi!AF27+Quillota!AF27+Quilpue!AF27+Quintero!AF27+'Villa Alemana'!AF27+'Viña del Mar'!AF27+Zapallar!AF27</f>
        <v>0</v>
      </c>
      <c r="AG28" s="291">
        <f t="shared" si="1"/>
        <v>850292844</v>
      </c>
      <c r="AH28" s="123">
        <f t="shared" si="2"/>
        <v>0</v>
      </c>
    </row>
    <row r="29" spans="1:34" ht="15.75" thickBot="1">
      <c r="A29" s="51"/>
      <c r="B29" s="52" t="s">
        <v>298</v>
      </c>
      <c r="C29" s="148" t="s">
        <v>29</v>
      </c>
      <c r="D29" s="21"/>
      <c r="E29" s="15"/>
      <c r="F29" s="14"/>
      <c r="G29" s="16"/>
      <c r="H29" s="322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514"/>
      <c r="U29" s="235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21"/>
      <c r="AG29" s="291"/>
      <c r="AH29" s="123"/>
    </row>
    <row r="30" spans="1:34" ht="15.75" thickBot="1">
      <c r="A30" s="51">
        <v>13</v>
      </c>
      <c r="B30" s="52" t="s">
        <v>203</v>
      </c>
      <c r="C30" s="148" t="s">
        <v>29</v>
      </c>
      <c r="D30" s="21"/>
      <c r="E30" s="15"/>
      <c r="F30" s="14"/>
      <c r="G30" s="16"/>
      <c r="H30" s="322">
        <f t="shared" si="0"/>
        <v>854970779</v>
      </c>
      <c r="I30" s="250">
        <f>+Cabildo!I28+'La Calera'!I28+Concón!I28+Hijuelas!I28+'La Cruz'!I28+'La Ligua'!I28+Nogales!I28+Olmue!I28+Papudo!I28+Petorca!I28+Puchuncavi!I28+Quillota!I28+Quilpue!I28+Quintero!I28+'Villa Alemana'!I28+'Viña del Mar'!I28+Zapallar!I28</f>
        <v>0</v>
      </c>
      <c r="J30" s="250">
        <f>+Cabildo!J28+'La Calera'!J28+Concón!J28+Hijuelas!J28+'La Cruz'!J28+'La Ligua'!J28+Nogales!J28+Olmue!J28+Papudo!J28+Petorca!J28+Puchuncavi!J28+Quillota!J28+Quilpue!J28+Quintero!J28+'Villa Alemana'!J28+'Viña del Mar'!J28+Zapallar!J28</f>
        <v>0</v>
      </c>
      <c r="K30" s="250">
        <f>+Cabildo!K28+'La Calera'!K28+Concón!K28+Hijuelas!K28+'La Cruz'!K28+'La Ligua'!K28+Nogales!K28+Olmue!K28+Papudo!K28+Petorca!K28+Puchuncavi!K28+Quillota!K28+Quilpue!K28+Quintero!K28+'Villa Alemana'!K28+'Viña del Mar'!K28+Zapallar!K28</f>
        <v>0</v>
      </c>
      <c r="L30" s="250">
        <f>+Cabildo!L28+'La Calera'!L28+Concón!L28+Hijuelas!L28+'La Cruz'!L28+'La Ligua'!L28+Nogales!L28+Olmue!L28+Papudo!L28+Petorca!L28+Puchuncavi!L28+Quillota!L28+Quilpue!L28+Quintero!L28+'Villa Alemana'!L28+'Viña del Mar'!L28+Zapallar!L28</f>
        <v>0</v>
      </c>
      <c r="M30" s="250">
        <f>+Cabildo!M28+'La Calera'!M28+Concón!M28+Hijuelas!M28+'La Cruz'!M28+'La Ligua'!M28+Nogales!M28+Olmue!M28+Papudo!M28+Petorca!M28+Puchuncavi!M28+Quillota!M28+Quilpue!M28+Quintero!M28+'Villa Alemana'!M28+'Viña del Mar'!M28+Zapallar!M28</f>
        <v>0</v>
      </c>
      <c r="N30" s="250">
        <f>+Cabildo!N28+'La Calera'!N28+Concón!N28+Hijuelas!N28+'La Cruz'!N28+'La Ligua'!N28+Nogales!N28+Olmue!N28+Papudo!N28+Petorca!N28+Puchuncavi!N28+Quillota!N28+Quilpue!N28+Quintero!N28+'Villa Alemana'!N28+'Viña del Mar'!N28+Zapallar!N28</f>
        <v>0</v>
      </c>
      <c r="O30" s="250">
        <f>+Cabildo!O28+'La Calera'!O28+Concón!O28+Hijuelas!O28+'La Cruz'!O28+'La Ligua'!O28+Nogales!O28+Olmue!O28+Papudo!O28+Petorca!O28+Puchuncavi!O28+Quillota!O28+Quilpue!O28+Quintero!O28+'Villa Alemana'!O28+'Viña del Mar'!O28+Zapallar!O28</f>
        <v>403662899</v>
      </c>
      <c r="P30" s="250">
        <f>+Cabildo!P28+'La Calera'!P28+Concón!P28+Hijuelas!P28+'La Cruz'!P28+'La Ligua'!P28+Nogales!P28+Olmue!P28+Papudo!P28+Petorca!P28+Puchuncavi!P28+Quillota!P28+Quilpue!P28+Quintero!P28+'Villa Alemana'!P28+'Viña del Mar'!P28+Zapallar!P28</f>
        <v>181751858</v>
      </c>
      <c r="Q30" s="250">
        <f>+Cabildo!Q28+'La Calera'!Q28+Concón!Q28+Hijuelas!Q28+'La Cruz'!Q28+'La Ligua'!Q28+Nogales!Q28+Olmue!Q28+Papudo!Q28+Petorca!Q28+Puchuncavi!Q28+Quillota!Q28+Quilpue!Q28+Quintero!Q28+'Villa Alemana'!Q28+'Viña del Mar'!Q28+Zapallar!Q28</f>
        <v>219795037</v>
      </c>
      <c r="R30" s="250">
        <f>+Cabildo!R28+'La Calera'!R28+Concón!R28+Hijuelas!R28+'La Cruz'!R28+'La Ligua'!R28+Nogales!R28+Olmue!R28+Papudo!R28+Petorca!R28+Puchuncavi!R28+Quillota!R28+Quilpue!R28+Quintero!R28+'Villa Alemana'!R28+'Viña del Mar'!R28+Zapallar!R28</f>
        <v>24023675</v>
      </c>
      <c r="S30" s="250">
        <f>+Cabildo!S28+'La Calera'!S28+Concón!S28+Hijuelas!S28+'La Cruz'!S28+'La Ligua'!S28+Nogales!S28+Olmue!S28+Papudo!S28+Petorca!S28+Puchuncavi!S28+Quillota!S28+Quilpue!S28+Quintero!S28+'Villa Alemana'!S28+'Viña del Mar'!S28+Zapallar!S28</f>
        <v>25737310</v>
      </c>
      <c r="T30" s="514">
        <f>+Cabildo!T28+'La Calera'!T28+Concón!T28+Hijuelas!T28+'La Cruz'!T28+'La Ligua'!T28+Nogales!T28+Olmue!T28+Papudo!T28+Petorca!T28+Puchuncavi!T28+Quillota!T28+Quilpue!T28+Quintero!T28+'Villa Alemana'!T28+'Viña del Mar'!T28+Zapallar!T28</f>
        <v>0</v>
      </c>
      <c r="U30" s="240">
        <f>+Cabildo!U28+'La Calera'!U28+Concón!U28+Hijuelas!U28+'La Cruz'!U28+'La Ligua'!U28+Nogales!U28+Olmue!U28+Papudo!U28+Petorca!U28+Puchuncavi!U28+Quillota!U28+Quilpue!U28+Quintero!U28+'Villa Alemana'!U28+'Viña del Mar'!U28+Zapallar!U28</f>
        <v>0</v>
      </c>
      <c r="V30" s="214">
        <f>+Cabildo!V28+'La Calera'!V28+Concón!V28+Hijuelas!V28+'La Cruz'!V28+'La Ligua'!V28+Nogales!V28+Olmue!V28+Papudo!V28+Petorca!V28+Puchuncavi!V28+Quillota!V28+Quilpue!V28+Quintero!V28+'Villa Alemana'!V28+'Viña del Mar'!V28+Zapallar!V28</f>
        <v>0</v>
      </c>
      <c r="W30" s="214">
        <f>+Cabildo!W28+'La Calera'!W28+Concón!W28+Hijuelas!W28+'La Cruz'!W28+'La Ligua'!W28+Nogales!W28+Olmue!W28+Papudo!W28+Petorca!W28+Puchuncavi!W28+Quillota!W28+Quilpue!W28+Quintero!W28+'Villa Alemana'!W28+'Viña del Mar'!W28+Zapallar!W28</f>
        <v>0</v>
      </c>
      <c r="X30" s="214">
        <f>+Cabildo!X28+'La Calera'!X28+Concón!X28+Hijuelas!X28+'La Cruz'!X28+'La Ligua'!X28+Nogales!X28+Olmue!X28+Papudo!X28+Petorca!X28+Puchuncavi!X28+Quillota!X28+Quilpue!X28+Quintero!X28+'Villa Alemana'!X28+'Viña del Mar'!X28+Zapallar!X28</f>
        <v>0</v>
      </c>
      <c r="Y30" s="214">
        <f>+Cabildo!Y28+'La Calera'!Y28+Concón!Y28+Hijuelas!Y28+'La Cruz'!Y28+'La Ligua'!Y28+Nogales!Y28+Olmue!Y28+Papudo!Y28+Petorca!Y28+Puchuncavi!Y28+Quillota!Y28+Quilpue!Y28+Quintero!Y28+'Villa Alemana'!Y28+'Viña del Mar'!Y28+Zapallar!Y28</f>
        <v>0</v>
      </c>
      <c r="Z30" s="214">
        <f>+Cabildo!Z28+'La Calera'!Z28+Concón!Z28+Hijuelas!Z28+'La Cruz'!Z28+'La Ligua'!Z28+Nogales!Z28+Olmue!Z28+Papudo!Z28+Petorca!Z28+Puchuncavi!Z28+Quillota!Z28+Quilpue!Z28+Quintero!Z28+'Villa Alemana'!Z28+'Viña del Mar'!Z28+Zapallar!Z28</f>
        <v>0</v>
      </c>
      <c r="AA30" s="214">
        <f>+Cabildo!AA28+'La Calera'!AA28+Concón!AA28+Hijuelas!AA28+'La Cruz'!AA28+'La Ligua'!AA28+Nogales!AA28+Olmue!AA28+Papudo!AA28+Petorca!AA28+Puchuncavi!AA28+Quillota!AA28+Quilpue!AA28+Quintero!AA28+'Villa Alemana'!AA28+'Viña del Mar'!AA28+Zapallar!AA28</f>
        <v>403662899</v>
      </c>
      <c r="AB30" s="214">
        <f>+Cabildo!AB28+'La Calera'!AB28+Concón!AB28+Hijuelas!AB28+'La Cruz'!AB28+'La Ligua'!AB28+Nogales!AB28+Olmue!AB28+Papudo!AB28+Petorca!AB28+Puchuncavi!AB28+Quillota!AB28+Quilpue!AB28+Quintero!AB28+'Villa Alemana'!AB28+'Viña del Mar'!AB28+Zapallar!AB28</f>
        <v>181751858</v>
      </c>
      <c r="AC30" s="214">
        <f>+Cabildo!AC28+'La Calera'!AC28+Concón!AC28+Hijuelas!AC28+'La Cruz'!AC28+'La Ligua'!AC28+Nogales!AC28+Olmue!AC28+Papudo!AC28+Petorca!AC28+Puchuncavi!AC28+Quillota!AC28+Quilpue!AC28+Quintero!AC28+'Villa Alemana'!AC28+'Viña del Mar'!AC28+Zapallar!AC28</f>
        <v>219795037</v>
      </c>
      <c r="AD30" s="214">
        <f>+Cabildo!AD28+'La Calera'!AD28+Concón!AD28+Hijuelas!AD28+'La Cruz'!AD28+'La Ligua'!AD28+Nogales!AD28+Olmue!AD28+Papudo!AD28+Petorca!AD28+Puchuncavi!AD28+Quillota!AD28+Quilpue!AD28+Quintero!AD28+'Villa Alemana'!AD28+'Viña del Mar'!AD28+Zapallar!AD28</f>
        <v>24023675</v>
      </c>
      <c r="AE30" s="214">
        <f>+Cabildo!AE28+'La Calera'!AE28+Concón!AE28+Hijuelas!AE28+'La Cruz'!AE28+'La Ligua'!AE28+Nogales!AE28+Olmue!AE28+Papudo!AE28+Petorca!AE28+Puchuncavi!AE28+Quillota!AE28+Quilpue!AE28+Quintero!AE28+'Villa Alemana'!AE28+'Viña del Mar'!AE28+Zapallar!AE28</f>
        <v>0</v>
      </c>
      <c r="AF30" s="530">
        <f>+Cabildo!AF28+'La Calera'!AF28+Concón!AF28+Hijuelas!AF28+'La Cruz'!AF28+'La Ligua'!AF28+Nogales!AF28+Olmue!AF28+Papudo!AF28+Petorca!AF28+Puchuncavi!AF28+Quillota!AF28+Quilpue!AF28+Quintero!AF28+'Villa Alemana'!AF28+'Viña del Mar'!AF28+Zapallar!AF28</f>
        <v>25737310</v>
      </c>
      <c r="AG30" s="291">
        <f t="shared" si="1"/>
        <v>854970779</v>
      </c>
      <c r="AH30" s="123">
        <f t="shared" si="2"/>
        <v>0</v>
      </c>
    </row>
    <row r="31" spans="1:34" ht="15.75" thickBot="1">
      <c r="A31" s="548"/>
      <c r="B31" s="802" t="s">
        <v>274</v>
      </c>
      <c r="C31" s="803"/>
      <c r="D31" s="804"/>
      <c r="E31" s="549"/>
      <c r="F31" s="550"/>
      <c r="G31" s="551"/>
      <c r="H31" s="552">
        <f>SUM(H21:H30)</f>
        <v>10080818774.732254</v>
      </c>
      <c r="I31" s="553"/>
      <c r="J31" s="553"/>
      <c r="K31" s="553"/>
      <c r="L31" s="553"/>
      <c r="M31" s="553"/>
      <c r="N31" s="553"/>
      <c r="O31" s="553">
        <f t="shared" ref="O31:T31" si="4">SUM(O21:O30)</f>
        <v>928949230</v>
      </c>
      <c r="P31" s="553">
        <f t="shared" si="4"/>
        <v>464022547</v>
      </c>
      <c r="Q31" s="553">
        <f t="shared" si="4"/>
        <v>2323266133.333333</v>
      </c>
      <c r="R31" s="553">
        <f t="shared" si="4"/>
        <v>152628223</v>
      </c>
      <c r="S31" s="553">
        <f t="shared" si="4"/>
        <v>130294343</v>
      </c>
      <c r="T31" s="553">
        <f t="shared" si="4"/>
        <v>1873427934.8889999</v>
      </c>
      <c r="U31" s="540"/>
      <c r="V31" s="541"/>
      <c r="W31" s="541"/>
      <c r="X31" s="541"/>
      <c r="Y31" s="541"/>
      <c r="Z31" s="541"/>
      <c r="AA31" s="541"/>
      <c r="AB31" s="541"/>
      <c r="AC31" s="541"/>
      <c r="AD31" s="541"/>
      <c r="AE31" s="541"/>
      <c r="AF31" s="542"/>
      <c r="AG31" s="543"/>
      <c r="AH31" s="544"/>
    </row>
    <row r="32" spans="1:34" ht="15.75" thickBot="1">
      <c r="A32" s="794" t="s">
        <v>36</v>
      </c>
      <c r="B32" s="795"/>
      <c r="C32" s="94"/>
      <c r="D32" s="95">
        <f>SUM(D16:D27)</f>
        <v>74511555818</v>
      </c>
      <c r="E32" s="96"/>
      <c r="F32" s="97"/>
      <c r="G32" s="98"/>
      <c r="H32" s="323">
        <f>+H20+H31</f>
        <v>83301898192.732254</v>
      </c>
      <c r="I32" s="313">
        <f t="shared" ref="I32:N32" si="5">SUM(I16:I30)</f>
        <v>6210153793</v>
      </c>
      <c r="J32" s="313">
        <f t="shared" si="5"/>
        <v>6209515532</v>
      </c>
      <c r="K32" s="313">
        <f t="shared" si="5"/>
        <v>6210213156.5099192</v>
      </c>
      <c r="L32" s="313">
        <f t="shared" si="5"/>
        <v>8015758766</v>
      </c>
      <c r="M32" s="313">
        <f t="shared" si="5"/>
        <v>6210271631</v>
      </c>
      <c r="N32" s="313">
        <f t="shared" si="5"/>
        <v>7986053466</v>
      </c>
      <c r="O32" s="313">
        <f t="shared" ref="O32:T32" si="6">+O20+O31</f>
        <v>7034636769</v>
      </c>
      <c r="P32" s="313">
        <f t="shared" si="6"/>
        <v>6563866624</v>
      </c>
      <c r="Q32" s="313">
        <f t="shared" si="6"/>
        <v>8423110210.333333</v>
      </c>
      <c r="R32" s="313">
        <f t="shared" si="6"/>
        <v>6246840133</v>
      </c>
      <c r="S32" s="313">
        <f t="shared" si="6"/>
        <v>6223838267</v>
      </c>
      <c r="T32" s="313">
        <f t="shared" si="6"/>
        <v>7967639844.8889999</v>
      </c>
      <c r="U32" s="295">
        <f t="shared" ref="U32:AF32" si="7">SUM(U16:U30)</f>
        <v>6210153793</v>
      </c>
      <c r="V32" s="295">
        <f t="shared" si="7"/>
        <v>6209515532</v>
      </c>
      <c r="W32" s="295">
        <f t="shared" si="7"/>
        <v>6210213156</v>
      </c>
      <c r="X32" s="295">
        <f t="shared" si="7"/>
        <v>8014279031</v>
      </c>
      <c r="Y32" s="295">
        <f t="shared" si="7"/>
        <v>6208791896</v>
      </c>
      <c r="Z32" s="295">
        <f t="shared" si="7"/>
        <v>7984573731</v>
      </c>
      <c r="AA32" s="295">
        <f t="shared" si="7"/>
        <v>7033157034</v>
      </c>
      <c r="AB32" s="295">
        <f t="shared" si="7"/>
        <v>6562386889</v>
      </c>
      <c r="AC32" s="295">
        <f t="shared" si="7"/>
        <v>8421630475.333333</v>
      </c>
      <c r="AD32" s="295">
        <f t="shared" si="7"/>
        <v>6245360398</v>
      </c>
      <c r="AE32" s="295">
        <f t="shared" si="7"/>
        <v>6196621222</v>
      </c>
      <c r="AF32" s="295">
        <f t="shared" si="7"/>
        <v>7991277752.8210001</v>
      </c>
      <c r="AG32" s="337">
        <f>SUM(U32:AF32)</f>
        <v>83287960910.154343</v>
      </c>
      <c r="AH32" s="120">
        <f>+H32-AG32</f>
        <v>13937282.577911377</v>
      </c>
    </row>
    <row r="33" spans="1:50" ht="15" thickBot="1">
      <c r="D33" s="265"/>
      <c r="E33" s="5">
        <v>0.7</v>
      </c>
      <c r="F33" s="5">
        <v>0.3</v>
      </c>
      <c r="G33" s="5">
        <v>8.3333333333333329E-2</v>
      </c>
      <c r="M33" s="207">
        <f>+L26-M26</f>
        <v>0</v>
      </c>
    </row>
    <row r="34" spans="1:50" ht="44.25" customHeight="1" thickBot="1">
      <c r="A34" s="80"/>
      <c r="B34" s="731" t="s">
        <v>72</v>
      </c>
      <c r="C34" s="731"/>
      <c r="D34" s="732"/>
      <c r="E34" s="796" t="s">
        <v>25</v>
      </c>
      <c r="F34" s="731"/>
      <c r="G34" s="732"/>
      <c r="H34" s="774" t="s">
        <v>38</v>
      </c>
      <c r="I34" s="775"/>
      <c r="J34" s="775"/>
      <c r="K34" s="775"/>
      <c r="L34" s="775"/>
      <c r="M34" s="775"/>
      <c r="N34" s="775"/>
      <c r="O34" s="775"/>
      <c r="P34" s="775"/>
      <c r="Q34" s="775"/>
      <c r="R34" s="775"/>
      <c r="S34" s="775"/>
      <c r="T34" s="797"/>
      <c r="U34" s="715" t="s">
        <v>39</v>
      </c>
      <c r="V34" s="716"/>
      <c r="W34" s="716"/>
      <c r="X34" s="716"/>
      <c r="Y34" s="716"/>
      <c r="Z34" s="716"/>
      <c r="AA34" s="716"/>
      <c r="AB34" s="716"/>
      <c r="AC34" s="716"/>
      <c r="AD34" s="716"/>
      <c r="AE34" s="716"/>
      <c r="AF34" s="716"/>
      <c r="AG34" s="717"/>
      <c r="AK34" s="751" t="s">
        <v>177</v>
      </c>
      <c r="AL34" s="752"/>
      <c r="AM34" s="752"/>
      <c r="AN34" s="752"/>
      <c r="AO34" s="752"/>
      <c r="AP34" s="752"/>
      <c r="AQ34" s="752"/>
      <c r="AR34" s="752"/>
      <c r="AS34" s="752"/>
      <c r="AT34" s="752"/>
      <c r="AU34" s="752"/>
      <c r="AV34" s="753"/>
    </row>
    <row r="35" spans="1:50" ht="30.75" thickBot="1">
      <c r="A35" s="81" t="s">
        <v>7</v>
      </c>
      <c r="B35" s="82" t="s">
        <v>8</v>
      </c>
      <c r="C35" s="82" t="s">
        <v>73</v>
      </c>
      <c r="D35" s="83" t="s">
        <v>10</v>
      </c>
      <c r="E35" s="81">
        <v>1</v>
      </c>
      <c r="F35" s="82">
        <v>2</v>
      </c>
      <c r="G35" s="84">
        <v>3</v>
      </c>
      <c r="H35" s="347" t="s">
        <v>11</v>
      </c>
      <c r="I35" s="330" t="s">
        <v>12</v>
      </c>
      <c r="J35" s="288" t="s">
        <v>13</v>
      </c>
      <c r="K35" s="288" t="s">
        <v>14</v>
      </c>
      <c r="L35" s="288" t="s">
        <v>15</v>
      </c>
      <c r="M35" s="288" t="s">
        <v>16</v>
      </c>
      <c r="N35" s="288" t="s">
        <v>17</v>
      </c>
      <c r="O35" s="288" t="s">
        <v>18</v>
      </c>
      <c r="P35" s="288" t="s">
        <v>19</v>
      </c>
      <c r="Q35" s="288" t="s">
        <v>20</v>
      </c>
      <c r="R35" s="288" t="s">
        <v>21</v>
      </c>
      <c r="S35" s="288" t="s">
        <v>22</v>
      </c>
      <c r="T35" s="289" t="s">
        <v>23</v>
      </c>
      <c r="U35" s="292" t="s">
        <v>12</v>
      </c>
      <c r="V35" s="293" t="s">
        <v>13</v>
      </c>
      <c r="W35" s="293" t="s">
        <v>14</v>
      </c>
      <c r="X35" s="293" t="s">
        <v>15</v>
      </c>
      <c r="Y35" s="293" t="s">
        <v>16</v>
      </c>
      <c r="Z35" s="293" t="s">
        <v>17</v>
      </c>
      <c r="AA35" s="293" t="s">
        <v>18</v>
      </c>
      <c r="AB35" s="293" t="s">
        <v>19</v>
      </c>
      <c r="AC35" s="293" t="s">
        <v>20</v>
      </c>
      <c r="AD35" s="293" t="s">
        <v>21</v>
      </c>
      <c r="AE35" s="293" t="s">
        <v>22</v>
      </c>
      <c r="AF35" s="294" t="s">
        <v>23</v>
      </c>
      <c r="AG35" s="532" t="s">
        <v>24</v>
      </c>
      <c r="AH35" s="533" t="s">
        <v>37</v>
      </c>
      <c r="AK35" s="414" t="s">
        <v>12</v>
      </c>
      <c r="AL35" s="413" t="s">
        <v>13</v>
      </c>
      <c r="AM35" s="413" t="s">
        <v>14</v>
      </c>
      <c r="AN35" s="413" t="s">
        <v>15</v>
      </c>
      <c r="AO35" s="413" t="s">
        <v>16</v>
      </c>
      <c r="AP35" s="413" t="s">
        <v>17</v>
      </c>
      <c r="AQ35" s="413" t="s">
        <v>18</v>
      </c>
      <c r="AR35" s="413" t="s">
        <v>19</v>
      </c>
      <c r="AS35" s="413" t="s">
        <v>20</v>
      </c>
      <c r="AT35" s="413" t="s">
        <v>21</v>
      </c>
      <c r="AU35" s="413" t="s">
        <v>22</v>
      </c>
      <c r="AV35" s="415" t="s">
        <v>23</v>
      </c>
      <c r="AW35" s="422" t="s">
        <v>178</v>
      </c>
      <c r="AX35" s="167" t="s">
        <v>179</v>
      </c>
    </row>
    <row r="36" spans="1:50" ht="15.75" thickBot="1">
      <c r="A36" s="18">
        <v>1</v>
      </c>
      <c r="B36" s="19" t="s">
        <v>99</v>
      </c>
      <c r="C36" s="146"/>
      <c r="D36" s="21">
        <f>+Cabildo!D34+'La Calera'!D34+Concón!D34+Hijuelas!D34+'La Cruz'!D34+'La Ligua'!D34+Limache!D34+Nogales!D34+Olmue!D34+Papudo!D34+Petorca!D34+Puchuncavi!D34+Quillota!D34+Quilpue!D34+Quintero!D34+'Villa Alemana'!D34+'Viña del Mar'!D34+Zapallar!D34</f>
        <v>13377108</v>
      </c>
      <c r="E36" s="150">
        <f>+D36*E33</f>
        <v>9363975.5999999996</v>
      </c>
      <c r="F36" s="151">
        <f>+D36*F33</f>
        <v>4013132.4</v>
      </c>
      <c r="G36" s="158"/>
      <c r="H36" s="334">
        <f>SUM(I36:T36)</f>
        <v>13377108.499999996</v>
      </c>
      <c r="I36" s="331">
        <f>+Cabildo!I34+'La Calera'!I34+Concón!I34+Hijuelas!I34+'La Cruz'!I34+'La Ligua'!I34+Limache!I34+Nogales!I34+Olmue!I34+Papudo!I34+Petorca!I34+Puchuncavi!I34+Quillota!I34+Quilpue!I34+Quintero!I34+'Villa Alemana'!I34+'Viña del Mar'!I34+Zapallar!I34</f>
        <v>0</v>
      </c>
      <c r="J36" s="209">
        <f>+Cabildo!J34+'La Calera'!J34+Concón!J34+Hijuelas!J34+'La Cruz'!J34+'La Ligua'!J34+Limache!J34+Nogales!J34+Olmue!J34+Papudo!J34+Petorca!J34+Puchuncavi!J34+Quillota!J34+Quilpue!J34+Quintero!J34+'Villa Alemana'!J34+'Viña del Mar'!J34+Zapallar!J34</f>
        <v>0</v>
      </c>
      <c r="K36" s="209">
        <f>+Cabildo!K34+'La Calera'!K34+Concón!K34+Hijuelas!K34+'La Cruz'!K34+'La Ligua'!K34+Limache!K34+Nogales!K34+Olmue!K34+Papudo!K34+Petorca!K34+Puchuncavi!K34+Quillota!K34+Quilpue!K34+Quintero!K34+'Villa Alemana'!K34+'Viña del Mar'!K34+Zapallar!K34</f>
        <v>9363976.0999999978</v>
      </c>
      <c r="L36" s="209">
        <f>+Cabildo!L34+'La Calera'!L34+Concón!L34+Hijuelas!L34+'La Cruz'!L34+'La Ligua'!L34+Limache!L34+Nogales!L34+Olmue!L34+Papudo!L34+Petorca!L34+Puchuncavi!L34+Quillota!L34+Quilpue!L34+Quintero!L34+'Villa Alemana'!L34+'Viña del Mar'!L34+Zapallar!L34</f>
        <v>0</v>
      </c>
      <c r="M36" s="209">
        <f>+Cabildo!M34+'La Calera'!M34+Concón!M34+Hijuelas!M34+'La Cruz'!M34+'La Ligua'!M34+Limache!M34+Nogales!M34+Olmue!M34+Papudo!M34+Petorca!M34+Puchuncavi!M34+Quillota!M34+Quilpue!M34+Quintero!M34+'Villa Alemana'!M34+'Viña del Mar'!M34+Zapallar!M34</f>
        <v>0</v>
      </c>
      <c r="N36" s="209">
        <f>+Cabildo!N34+'La Calera'!N34+Concón!N34+Hijuelas!N34+'La Cruz'!N34+'La Ligua'!N34+Limache!N34+Nogales!N34+Olmue!N34+Papudo!N34+Petorca!N34+Puchuncavi!N34+Quillota!N34+Quilpue!N34+Quintero!N34+'Villa Alemana'!N34+'Viña del Mar'!N34+Zapallar!N34</f>
        <v>0</v>
      </c>
      <c r="O36" s="209">
        <f>+Cabildo!O34+'La Calera'!O34+Concón!O34+Hijuelas!O34+'La Cruz'!O34+'La Ligua'!O34+Limache!O34+Nogales!O34+Olmue!O34+Papudo!O34+Petorca!O34+Puchuncavi!O34+Quillota!O34+Quilpue!O34+Quintero!O34+'Villa Alemana'!O34+'Viña del Mar'!O34+Zapallar!O34</f>
        <v>0</v>
      </c>
      <c r="P36" s="209">
        <f>+Cabildo!P34+'La Calera'!P34+Concón!P34+Hijuelas!P34+'La Cruz'!P34+'La Ligua'!P34+Limache!P34+Nogales!P34+Olmue!P34+Papudo!P34+Petorca!P34+Puchuncavi!P34+Quillota!P34+Quilpue!P34+Quintero!P34+'Villa Alemana'!P34+'Viña del Mar'!P34+Zapallar!P34</f>
        <v>0</v>
      </c>
      <c r="Q36" s="209">
        <f>+Cabildo!Q34+'La Calera'!Q34+Concón!Q34+Hijuelas!Q34+'La Cruz'!Q34+'La Ligua'!Q34+Limache!Q34+Nogales!Q34+Olmue!Q34+Papudo!Q34+Petorca!Q34+Puchuncavi!Q34+Quillota!Q34+Quilpue!Q34+Quintero!Q34+'Villa Alemana'!Q34+'Viña del Mar'!Q34+Zapallar!Q34</f>
        <v>0</v>
      </c>
      <c r="R36" s="659">
        <f>+Cabildo!R34+'La Calera'!R34+Concón!R34+Hijuelas!R34+'La Cruz'!R34+'La Ligua'!R34+Limache!R34+Nogales!R34+Olmue!R34+Papudo!R34+Petorca!R34+Puchuncavi!R34+Quillota!R34+Quilpue!R34+Quintero!R34+'Villa Alemana'!R34+'Viña del Mar'!R34+Zapallar!R34</f>
        <v>4013132.3999999994</v>
      </c>
      <c r="S36" s="209">
        <f>+Cabildo!S34+'La Calera'!S34+Concón!S34+Hijuelas!S34+'La Cruz'!S34+'La Ligua'!S34+Limache!S34+Nogales!S34+Olmue!S34+Papudo!S34+Petorca!S34+Puchuncavi!S34+Quillota!S34+Quilpue!S34+Quintero!S34+'Villa Alemana'!S34+'Viña del Mar'!S34+Zapallar!S34</f>
        <v>0</v>
      </c>
      <c r="T36" s="225">
        <f>+Cabildo!T34+'La Calera'!T34+Concón!T34+Hijuelas!T34+'La Cruz'!T34+'La Ligua'!T34+Limache!T34+Nogales!T34+Olmue!T34+Papudo!T34+Petorca!T34+Puchuncavi!T34+Quillota!T34+Quilpue!T34+Quintero!T34+'Villa Alemana'!T34+'Viña del Mar'!T34+Zapallar!T34</f>
        <v>0</v>
      </c>
      <c r="U36" s="234">
        <f>+Cabildo!U34+'La Calera'!U34+Concón!U34+Hijuelas!U34+'La Cruz'!U34+'La Ligua'!U34+Limache!U34+Nogales!U34+Olmue!U34+Papudo!U34+Petorca!U34+Puchuncavi!U34+Quillota!U34+Quilpue!U34+Quintero!U34+'Villa Alemana'!U34+'Viña del Mar'!U34+Zapallar!U34</f>
        <v>0</v>
      </c>
      <c r="V36" s="209">
        <f>+Cabildo!V34+'La Calera'!V34+Concón!V34+Hijuelas!V34+'La Cruz'!V34+'La Ligua'!V34+Limache!V34+Nogales!V34+Olmue!V34+Papudo!V34+Petorca!V34+Puchuncavi!V34+Quillota!V34+Quilpue!V34+Quintero!V34+'Villa Alemana'!V34+'Viña del Mar'!V34+Zapallar!V34</f>
        <v>0</v>
      </c>
      <c r="W36" s="209">
        <f>+Cabildo!W34+'La Calera'!W34+Concón!W34+Hijuelas!W34+'La Cruz'!W34+'La Ligua'!W34+Limache!W34+Nogales!W34+Olmue!W34+Papudo!W34+Petorca!W34+Puchuncavi!W34+Quillota!W34+Quilpue!W34+Quintero!W34+'Villa Alemana'!W34+'Viña del Mar'!W34+Zapallar!W34</f>
        <v>9363976.0999999978</v>
      </c>
      <c r="X36" s="209">
        <f>+Cabildo!X34+'La Calera'!X34+Concón!X34+Hijuelas!X34+'La Cruz'!X34+'La Ligua'!X34+Limache!X34+Nogales!X34+Olmue!X34+Papudo!X34+Petorca!X34+Puchuncavi!X34+Quillota!X34+Quilpue!X34+Quintero!X34+'Villa Alemana'!X34+'Viña del Mar'!X34+Zapallar!X34</f>
        <v>0</v>
      </c>
      <c r="Y36" s="209">
        <f>+Cabildo!Y34+'La Calera'!Y34+Concón!Y34+Hijuelas!Y34+'La Cruz'!Y34+'La Ligua'!Y34+Limache!Y34+Nogales!Y34+Olmue!Y34+Papudo!Y34+Petorca!Y34+Puchuncavi!Y34+Quillota!Y34+Quilpue!Y34+Quintero!Y34+'Villa Alemana'!Y34+'Viña del Mar'!Y34+Zapallar!Y34</f>
        <v>0</v>
      </c>
      <c r="Z36" s="209">
        <f>+Cabildo!Z34+'La Calera'!Z34+Concón!Z34+Hijuelas!Z34+'La Cruz'!Z34+'La Ligua'!Z34+Limache!Z34+Nogales!Z34+Olmue!Z34+Papudo!Z34+Petorca!Z34+Puchuncavi!Z34+Quillota!Z34+Quilpue!Z34+Quintero!Z34+'Villa Alemana'!Z34+'Viña del Mar'!Z34+Zapallar!Z34</f>
        <v>0</v>
      </c>
      <c r="AA36" s="209">
        <f>+Cabildo!AA34+'La Calera'!AA34+Concón!AA34+Hijuelas!AA34+'La Cruz'!AA34+'La Ligua'!AA34+Limache!AA34+Nogales!AA34+Olmue!AA34+Papudo!AA34+Petorca!AA34+Puchuncavi!AA34+Quillota!AA34+Quilpue!AA34+Quintero!AA34+'Villa Alemana'!AA34+'Viña del Mar'!AA34+Zapallar!AA34</f>
        <v>0</v>
      </c>
      <c r="AB36" s="209">
        <f>+Cabildo!AB34+'La Calera'!AB34+Concón!AB34+Hijuelas!AB34+'La Cruz'!AB34+'La Ligua'!AB34+Limache!AB34+Nogales!AB34+Olmue!AB34+Papudo!AB34+Petorca!AB34+Puchuncavi!AB34+Quillota!AB34+Quilpue!AB34+Quintero!AB34+'Villa Alemana'!AB34+'Viña del Mar'!AB34+Zapallar!AB34</f>
        <v>0</v>
      </c>
      <c r="AC36" s="209">
        <f>+Cabildo!AC34+'La Calera'!AC34+Concón!AC34+Hijuelas!AC34+'La Cruz'!AC34+'La Ligua'!AC34+Limache!AC34+Nogales!AC34+Olmue!AC34+Papudo!AC34+Petorca!AC34+Puchuncavi!AC34+Quillota!AC34+Quilpue!AC34+Quintero!AC34+'Villa Alemana'!AC34+'Viña del Mar'!AC34+Zapallar!AC34</f>
        <v>0</v>
      </c>
      <c r="AD36" s="209">
        <f>+Cabildo!AD34+'La Calera'!AD34+Concón!AD34+Hijuelas!AD34+'La Cruz'!AD34+'La Ligua'!AD34+Limache!AD34+Nogales!AD34+Olmue!AD34+Papudo!AD34+Petorca!AD34+Puchuncavi!AD34+Quillota!AD34+Quilpue!AD34+Quintero!AD34+'Villa Alemana'!AD34+'Viña del Mar'!AD34+Zapallar!AD34</f>
        <v>3587328.3</v>
      </c>
      <c r="AE36" s="209">
        <f>+Cabildo!AE34+'La Calera'!AE34+Concón!AE34+Hijuelas!AE34+'La Cruz'!AE34+'La Ligua'!AE34+Limache!AE34+Nogales!AE34+Olmue!AE34+Papudo!AE34+Petorca!AE34+Puchuncavi!AE34+Quillota!AE34+Quilpue!AE34+Quintero!AE34+'Villa Alemana'!AE34+'Viña del Mar'!AE34+Zapallar!AE34</f>
        <v>272250.29999999993</v>
      </c>
      <c r="AF36" s="218">
        <f>+Cabildo!AF34+'La Calera'!AF34+Concón!AF34+Hijuelas!AF34+'La Cruz'!AF34+'La Ligua'!AF34+Limache!AF34+Nogales!AF34+Olmue!AF34+Papudo!AF34+Petorca!AF34+Puchuncavi!AF34+Quillota!AF34+Quilpue!AF34+Quintero!AF34+'Villa Alemana'!AF34+'Viña del Mar'!AF34+Zapallar!AF34</f>
        <v>0</v>
      </c>
      <c r="AG36" s="663">
        <f>SUM(U36:AF36)</f>
        <v>13223554.699999999</v>
      </c>
      <c r="AH36" s="123">
        <f>+H36-AG36</f>
        <v>153553.79999999702</v>
      </c>
      <c r="AK36" s="234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25"/>
      <c r="AW36" s="226">
        <f>SUM(AK36:AV36)</f>
        <v>0</v>
      </c>
      <c r="AX36" s="123">
        <f>+AG36-AW36</f>
        <v>13223554.699999999</v>
      </c>
    </row>
    <row r="37" spans="1:50" ht="15">
      <c r="A37" s="18">
        <v>2</v>
      </c>
      <c r="B37" s="19" t="s">
        <v>100</v>
      </c>
      <c r="C37" s="146"/>
      <c r="D37" s="21">
        <f>+Cabildo!D35+'La Calera'!D35+Concón!D35+Hijuelas!D35+'La Cruz'!D35+'La Ligua'!D35+Limache!D35+Nogales!D35+Olmue!D35+Papudo!D35+Petorca!D35+Puchuncavi!D35+Quillota!D35+Quilpue!D35+Quintero!D35+'Villa Alemana'!D35+'Viña del Mar'!D35+Zapallar!D35</f>
        <v>531055602</v>
      </c>
      <c r="E37" s="140">
        <f>+D37*E33</f>
        <v>371738921.39999998</v>
      </c>
      <c r="F37" s="141">
        <f>+D37*F33</f>
        <v>159316680.59999999</v>
      </c>
      <c r="G37" s="159"/>
      <c r="H37" s="324">
        <f t="shared" ref="H37:H84" si="8">SUM(I37:T37)</f>
        <v>531055602</v>
      </c>
      <c r="I37" s="252">
        <f>+Cabildo!I35+'La Calera'!I35+Concón!I35+Hijuelas!I35+'La Cruz'!I35+'La Ligua'!I35+Limache!I35+Nogales!I35+Olmue!I35+Papudo!I35+Petorca!I35+Puchuncavi!I35+Quillota!I35+Quilpue!I35+Quintero!I35+'Villa Alemana'!I35+'Viña del Mar'!I35+Zapallar!I35</f>
        <v>0</v>
      </c>
      <c r="J37" s="206">
        <f>+Cabildo!J35+'La Calera'!J35+Concón!J35+Hijuelas!J35+'La Cruz'!J35+'La Ligua'!J35+Limache!J35+Nogales!J35+Olmue!J35+Papudo!J35+Petorca!J35+Puchuncavi!J35+Quillota!J35+Quilpue!J35+Quintero!J35+'Villa Alemana'!J35+'Viña del Mar'!J35+Zapallar!J35</f>
        <v>0</v>
      </c>
      <c r="K37" s="206">
        <f>+Cabildo!K35+'La Calera'!K35+Concón!K35+Hijuelas!K35+'La Cruz'!K35+'La Ligua'!K35+Limache!K35+Nogales!K35+Olmue!K35+Papudo!K35+Petorca!K35+Puchuncavi!K35+Quillota!K35+Quilpue!K35+Quintero!K35+'Villa Alemana'!K35+'Viña del Mar'!K35+Zapallar!K35</f>
        <v>371728121.39999998</v>
      </c>
      <c r="L37" s="206">
        <f>+Cabildo!L35+'La Calera'!L35+Concón!L35+Hijuelas!L35+'La Cruz'!L35+'La Ligua'!L35+Limache!L35+Nogales!L35+Olmue!L35+Papudo!L35+Petorca!L35+Puchuncavi!L35+Quillota!L35+Quilpue!L35+Quintero!L35+'Villa Alemana'!L35+'Viña del Mar'!L35+Zapallar!L35</f>
        <v>10799.999999999069</v>
      </c>
      <c r="M37" s="206">
        <f>+Cabildo!M35+'La Calera'!M35+Concón!M35+Hijuelas!M35+'La Cruz'!M35+'La Ligua'!M35+Limache!M35+Nogales!M35+Olmue!M35+Papudo!M35+Petorca!M35+Puchuncavi!M35+Quillota!M35+Quilpue!M35+Quintero!M35+'Villa Alemana'!M35+'Viña del Mar'!M35+Zapallar!M35</f>
        <v>0</v>
      </c>
      <c r="N37" s="206">
        <f>+Cabildo!N35+'La Calera'!N35+Concón!N35+Hijuelas!N35+'La Cruz'!N35+'La Ligua'!N35+Limache!N35+Nogales!N35+Olmue!N35+Papudo!N35+Petorca!N35+Puchuncavi!N35+Quillota!N35+Quilpue!N35+Quintero!N35+'Villa Alemana'!N35+'Viña del Mar'!N35+Zapallar!N35</f>
        <v>0</v>
      </c>
      <c r="O37" s="206">
        <f>+Cabildo!O35+'La Calera'!O35+Concón!O35+Hijuelas!O35+'La Cruz'!O35+'La Ligua'!O35+Limache!O35+Nogales!O35+Olmue!O35+Papudo!O35+Petorca!O35+Puchuncavi!O35+Quillota!O35+Quilpue!O35+Quintero!O35+'Villa Alemana'!O35+'Viña del Mar'!O35+Zapallar!O35</f>
        <v>0</v>
      </c>
      <c r="P37" s="206">
        <f>+Cabildo!P35+'La Calera'!P35+Concón!P35+Hijuelas!P35+'La Cruz'!P35+'La Ligua'!P35+Limache!P35+Nogales!P35+Olmue!P35+Papudo!P35+Petorca!P35+Puchuncavi!P35+Quillota!P35+Quilpue!P35+Quintero!P35+'Villa Alemana'!P35+'Viña del Mar'!P35+Zapallar!P35</f>
        <v>0</v>
      </c>
      <c r="Q37" s="206">
        <f>+Cabildo!Q35+'La Calera'!Q35+Concón!Q35+Hijuelas!Q35+'La Cruz'!Q35+'La Ligua'!Q35+Limache!Q35+Nogales!Q35+Olmue!Q35+Papudo!Q35+Petorca!Q35+Puchuncavi!Q35+Quillota!Q35+Quilpue!Q35+Quintero!Q35+'Villa Alemana'!Q35+'Viña del Mar'!Q35+Zapallar!Q35</f>
        <v>0</v>
      </c>
      <c r="R37" s="660">
        <f>+Cabildo!R35+'La Calera'!R35+Concón!R35+Hijuelas!R35+'La Cruz'!R35+'La Ligua'!R35+Limache!R35+Nogales!R35+Olmue!R35+Papudo!R35+Petorca!R35+Puchuncavi!R35+Quillota!R35+Quilpue!R35+Quintero!R35+'Villa Alemana'!R35+'Viña del Mar'!R35+Zapallar!R35</f>
        <v>159316680.60000002</v>
      </c>
      <c r="S37" s="206">
        <f>+Cabildo!S35+'La Calera'!S35+Concón!S35+Hijuelas!S35+'La Cruz'!S35+'La Ligua'!S35+Limache!S35+Nogales!S35+Olmue!S35+Papudo!S35+Petorca!S35+Puchuncavi!S35+Quillota!S35+Quilpue!S35+Quintero!S35+'Villa Alemana'!S35+'Viña del Mar'!S35+Zapallar!S35</f>
        <v>0</v>
      </c>
      <c r="T37" s="227">
        <f>+Cabildo!T35+'La Calera'!T35+Concón!T35+Hijuelas!T35+'La Cruz'!T35+'La Ligua'!T35+Limache!T35+Nogales!T35+Olmue!T35+Papudo!T35+Petorca!T35+Puchuncavi!T35+Quillota!T35+Quilpue!T35+Quintero!T35+'Villa Alemana'!T35+'Viña del Mar'!T35+Zapallar!T35</f>
        <v>0</v>
      </c>
      <c r="U37" s="235">
        <f>+Cabildo!U35+'La Calera'!U35+Concón!U35+Hijuelas!U35+'La Cruz'!U35+'La Ligua'!U35+Limache!U35+Nogales!U35+Olmue!U35+Papudo!U35+Petorca!U35+Puchuncavi!U35+Quillota!U35+Quilpue!U35+Quintero!U35+'Villa Alemana'!U35+'Viña del Mar'!U35+Zapallar!U35</f>
        <v>0</v>
      </c>
      <c r="V37" s="206">
        <f>+Cabildo!V35+'La Calera'!V35+Concón!V35+Hijuelas!V35+'La Cruz'!V35+'La Ligua'!V35+Limache!V35+Nogales!V35+Olmue!V35+Papudo!V35+Petorca!V35+Puchuncavi!V35+Quillota!V35+Quilpue!V35+Quintero!V35+'Villa Alemana'!V35+'Viña del Mar'!V35+Zapallar!V35</f>
        <v>0</v>
      </c>
      <c r="W37" s="206">
        <f>+Cabildo!W35+'La Calera'!W35+Concón!W35+Hijuelas!W35+'La Cruz'!W35+'La Ligua'!W35+Limache!W35+Nogales!W35+Olmue!W35+Papudo!W35+Petorca!W35+Puchuncavi!W35+Quillota!W35+Quilpue!W35+Quintero!W35+'Villa Alemana'!W35+'Viña del Mar'!W35+Zapallar!W35</f>
        <v>371728121.39999998</v>
      </c>
      <c r="X37" s="206">
        <f>+Cabildo!X35+'La Calera'!X35+Concón!X35+Hijuelas!X35+'La Cruz'!X35+'La Ligua'!X35+Limache!X35+Nogales!X35+Olmue!X35+Papudo!X35+Petorca!X35+Puchuncavi!X35+Quillota!X35+Quilpue!X35+Quintero!X35+'Villa Alemana'!X35+'Viña del Mar'!X35+Zapallar!X35</f>
        <v>10800</v>
      </c>
      <c r="Y37" s="206">
        <f>+Cabildo!Y35+'La Calera'!Y35+Concón!Y35+Hijuelas!Y35+'La Cruz'!Y35+'La Ligua'!Y35+Limache!Y35+Nogales!Y35+Olmue!Y35+Papudo!Y35+Petorca!Y35+Puchuncavi!Y35+Quillota!Y35+Quilpue!Y35+Quintero!Y35+'Villa Alemana'!Y35+'Viña del Mar'!Y35+Zapallar!Y35</f>
        <v>0</v>
      </c>
      <c r="Z37" s="206">
        <f>+Cabildo!Z35+'La Calera'!Z35+Concón!Z35+Hijuelas!Z35+'La Cruz'!Z35+'La Ligua'!Z35+Limache!Z35+Nogales!Z35+Olmue!Z35+Papudo!Z35+Petorca!Z35+Puchuncavi!Z35+Quillota!Z35+Quilpue!Z35+Quintero!Z35+'Villa Alemana'!Z35+'Viña del Mar'!Z35+Zapallar!Z35</f>
        <v>0</v>
      </c>
      <c r="AA37" s="206">
        <f>+Cabildo!AA35+'La Calera'!AA35+Concón!AA35+Hijuelas!AA35+'La Cruz'!AA35+'La Ligua'!AA35+Limache!AA35+Nogales!AA35+Olmue!AA35+Papudo!AA35+Petorca!AA35+Puchuncavi!AA35+Quillota!AA35+Quilpue!AA35+Quintero!AA35+'Villa Alemana'!AA35+'Viña del Mar'!AA35+Zapallar!AA35</f>
        <v>0</v>
      </c>
      <c r="AB37" s="206">
        <f>+Cabildo!AB35+'La Calera'!AB35+Concón!AB35+Hijuelas!AB35+'La Cruz'!AB35+'La Ligua'!AB35+Limache!AB35+Nogales!AB35+Olmue!AB35+Papudo!AB35+Petorca!AB35+Puchuncavi!AB35+Quillota!AB35+Quilpue!AB35+Quintero!AB35+'Villa Alemana'!AB35+'Viña del Mar'!AB35+Zapallar!AB35</f>
        <v>0</v>
      </c>
      <c r="AC37" s="206">
        <f>+Cabildo!AC35+'La Calera'!AC35+Concón!AC35+Hijuelas!AC35+'La Cruz'!AC35+'La Ligua'!AC35+Limache!AC35+Nogales!AC35+Olmue!AC35+Papudo!AC35+Petorca!AC35+Puchuncavi!AC35+Quillota!AC35+Quilpue!AC35+Quintero!AC35+'Villa Alemana'!AC35+'Viña del Mar'!AC35+Zapallar!AC35</f>
        <v>0</v>
      </c>
      <c r="AD37" s="206">
        <f>+Cabildo!AD35+'La Calera'!AD35+Concón!AD35+Hijuelas!AD35+'La Cruz'!AD35+'La Ligua'!AD35+Limache!AD35+Nogales!AD35+Olmue!AD35+Papudo!AD35+Petorca!AD35+Puchuncavi!AD35+Quillota!AD35+Quilpue!AD35+Quintero!AD35+'Villa Alemana'!AD35+'Viña del Mar'!AD35+Zapallar!AD35</f>
        <v>143667216</v>
      </c>
      <c r="AE37" s="206">
        <f>+Cabildo!AE35+'La Calera'!AE35+Concón!AE35+Hijuelas!AE35+'La Cruz'!AE35+'La Ligua'!AE35+Limache!AE35+Nogales!AE35+Olmue!AE35+Papudo!AE35+Petorca!AE35+Puchuncavi!AE35+Quillota!AE35+Quilpue!AE35+Quintero!AE35+'Villa Alemana'!AE35+'Viña del Mar'!AE35+Zapallar!AE35</f>
        <v>11801235.6</v>
      </c>
      <c r="AF37" s="221">
        <f>+Cabildo!AF35+'La Calera'!AF35+Concón!AF35+Hijuelas!AF35+'La Cruz'!AF35+'La Ligua'!AF35+Limache!AF35+Nogales!AF35+Olmue!AF35+Papudo!AF35+Petorca!AF35+Puchuncavi!AF35+Quillota!AF35+Quilpue!AF35+Quintero!AF35+'Villa Alemana'!AF35+'Viña del Mar'!AF35+Zapallar!AF35</f>
        <v>0</v>
      </c>
      <c r="AG37" s="664">
        <f t="shared" ref="AG37:AG84" si="9">SUM(U37:AF37)</f>
        <v>527207373</v>
      </c>
      <c r="AH37" s="431">
        <f t="shared" ref="AH37:AH84" si="10">+H37-AG37</f>
        <v>3848229</v>
      </c>
      <c r="AK37" s="235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6">
        <f>SUM(AK37:AV37)</f>
        <v>0</v>
      </c>
      <c r="AX37" s="431">
        <f t="shared" ref="AX37:AX79" si="11">+AG37-AW37</f>
        <v>527207373</v>
      </c>
    </row>
    <row r="38" spans="1:50" ht="15">
      <c r="A38" s="18">
        <v>3</v>
      </c>
      <c r="B38" s="7" t="s">
        <v>74</v>
      </c>
      <c r="C38" s="147"/>
      <c r="D38" s="21">
        <f>+Cabildo!D36+'La Calera'!D36+Concón!D36+Hijuelas!D36+'La Cruz'!D36+'La Ligua'!D36+Limache!D36+Nogales!D36+Olmue!D36+Papudo!D36+Petorca!D36+Puchuncavi!D36+Quillota!D36+Quilpue!D36+Quintero!D36+'Villa Alemana'!D36+'Viña del Mar'!D36+Zapallar!D36</f>
        <v>1151348039</v>
      </c>
      <c r="E38" s="142"/>
      <c r="F38" s="143"/>
      <c r="G38" s="160"/>
      <c r="H38" s="324">
        <f t="shared" si="8"/>
        <v>1151348039</v>
      </c>
      <c r="I38" s="252">
        <f>+Cabildo!I36+'La Calera'!I36+Concón!I36+Hijuelas!I36+'La Cruz'!I36+'La Ligua'!I36+Limache!I36+Nogales!I36+Olmue!I36+Papudo!I36+Petorca!I36+Puchuncavi!I36+Quillota!I36+Quilpue!I36+Quintero!I36+'Villa Alemana'!I36+'Viña del Mar'!I36+Zapallar!I36</f>
        <v>0</v>
      </c>
      <c r="J38" s="206">
        <f>+Cabildo!J36+'La Calera'!J36+Concón!J36+Hijuelas!J36+'La Cruz'!J36+'La Ligua'!J36+Limache!J36+Nogales!J36+Olmue!J36+Papudo!J36+Petorca!J36+Puchuncavi!J36+Quillota!J36+Quilpue!J36+Quintero!J36+'Villa Alemana'!J36+'Viña del Mar'!J36+Zapallar!J36</f>
        <v>0</v>
      </c>
      <c r="K38" s="206">
        <f>+Cabildo!K36+'La Calera'!K36+Concón!K36+Hijuelas!K36+'La Cruz'!K36+'La Ligua'!K36+Limache!K36+Nogales!K36+Olmue!K36+Papudo!K36+Petorca!K36+Puchuncavi!K36+Quillota!K36+Quilpue!K36+Quintero!K36+'Villa Alemana'!K36+'Viña del Mar'!K36+Zapallar!K36</f>
        <v>21817029</v>
      </c>
      <c r="L38" s="206">
        <f>+Cabildo!L36+'La Calera'!L36+Concón!L36+Hijuelas!L36+'La Cruz'!L36+'La Ligua'!L36+Limache!L36+Nogales!L36+Olmue!L36+Papudo!L36+Petorca!L36+Puchuncavi!L36+Quillota!L36+Quilpue!L36+Quintero!L36+'Villa Alemana'!L36+'Viña del Mar'!L36+Zapallar!L36</f>
        <v>152893581</v>
      </c>
      <c r="M38" s="206">
        <f>+Cabildo!M36+'La Calera'!M36+Concón!M36+Hijuelas!M36+'La Cruz'!M36+'La Ligua'!M36+Limache!M36+Nogales!M36+Olmue!M36+Papudo!M36+Petorca!M36+Puchuncavi!M36+Quillota!M36+Quilpue!M36+Quintero!M36+'Villa Alemana'!M36+'Viña del Mar'!M36+Zapallar!M36</f>
        <v>270238744</v>
      </c>
      <c r="N38" s="206">
        <f>+Cabildo!N36+'La Calera'!N36+Concón!N36+Hijuelas!N36+'La Cruz'!N36+'La Ligua'!N36+Limache!N36+Nogales!N36+Olmue!N36+Papudo!N36+Petorca!N36+Puchuncavi!N36+Quillota!N36+Quilpue!N36+Quintero!N36+'Villa Alemana'!N36+'Viña del Mar'!N36+Zapallar!N36</f>
        <v>130724666</v>
      </c>
      <c r="O38" s="206">
        <f>+Cabildo!O36+'La Calera'!O36+Concón!O36+Hijuelas!O36+'La Cruz'!O36+'La Ligua'!O36+Limache!O36+Nogales!O36+Olmue!O36+Papudo!O36+Petorca!O36+Puchuncavi!O36+Quillota!O36+Quilpue!O36+Quintero!O36+'Villa Alemana'!O36+'Viña del Mar'!O36+Zapallar!O36</f>
        <v>95945670</v>
      </c>
      <c r="P38" s="206">
        <f>+Cabildo!P36+'La Calera'!P36+Concón!P36+Hijuelas!P36+'La Cruz'!P36+'La Ligua'!P36+Limache!P36+Nogales!P36+Olmue!P36+Papudo!P36+Petorca!P36+Puchuncavi!P36+Quillota!P36+Quilpue!P36+Quintero!P36+'Villa Alemana'!P36+'Viña del Mar'!P36+Zapallar!P36</f>
        <v>95945670</v>
      </c>
      <c r="Q38" s="206">
        <f>+Cabildo!Q36+'La Calera'!Q36+Concón!Q36+Hijuelas!Q36+'La Cruz'!Q36+'La Ligua'!Q36+Limache!Q36+Nogales!Q36+Olmue!Q36+Papudo!Q36+Petorca!Q36+Puchuncavi!Q36+Quillota!Q36+Quilpue!Q36+Quintero!Q36+'Villa Alemana'!Q36+'Viña del Mar'!Q36+Zapallar!Q36</f>
        <v>95945670</v>
      </c>
      <c r="R38" s="206">
        <f>+Cabildo!R36+'La Calera'!R36+Concón!R36+Hijuelas!R36+'La Cruz'!R36+'La Ligua'!R36+Limache!R36+Nogales!R36+Olmue!R36+Papudo!R36+Petorca!R36+Puchuncavi!R36+Quillota!R36+Quilpue!R36+Quintero!R36+'Villa Alemana'!R36+'Viña del Mar'!R36+Zapallar!R36</f>
        <v>95945670</v>
      </c>
      <c r="S38" s="678">
        <f>+Cabildo!S36+'La Calera'!S36+Concón!S36+Hijuelas!S36+'La Cruz'!S36+'La Ligua'!S36+Limache!S36+Nogales!S36+Olmue!S36+Papudo!S36+Petorca!S36+Puchuncavi!S36+Quillota!S36+Quilpue!S36+Quintero!S36+'Villa Alemana'!S36+'Viña del Mar'!S36+Zapallar!S36</f>
        <v>95945670</v>
      </c>
      <c r="T38" s="689">
        <f>+Cabildo!T36+'La Calera'!T36+Concón!T36+Hijuelas!T36+'La Cruz'!T36+'La Ligua'!T36+Limache!T36+Nogales!T36+Olmue!T36+Papudo!T36+Petorca!T36+Puchuncavi!T36+Quillota!T36+Quilpue!T36+Quintero!T36+'Villa Alemana'!T36+'Viña del Mar'!T36+Zapallar!T36</f>
        <v>95945669</v>
      </c>
      <c r="U38" s="235">
        <f>+Cabildo!U36+'La Calera'!U36+Concón!U36+Hijuelas!U36+'La Cruz'!U36+'La Ligua'!U36+Limache!U36+Nogales!U36+Olmue!U36+Papudo!U36+Petorca!U36+Puchuncavi!U36+Quillota!U36+Quilpue!U36+Quintero!U36+'Villa Alemana'!U36+'Viña del Mar'!U36+Zapallar!U36</f>
        <v>0</v>
      </c>
      <c r="V38" s="206">
        <f>+Cabildo!V36+'La Calera'!V36+Concón!V36+Hijuelas!V36+'La Cruz'!V36+'La Ligua'!V36+Limache!V36+Nogales!V36+Olmue!V36+Papudo!V36+Petorca!V36+Puchuncavi!V36+Quillota!V36+Quilpue!V36+Quintero!V36+'Villa Alemana'!V36+'Viña del Mar'!V36+Zapallar!V36</f>
        <v>0</v>
      </c>
      <c r="W38" s="206">
        <f>+Cabildo!W36+'La Calera'!W36+Concón!W36+Hijuelas!W36+'La Cruz'!W36+'La Ligua'!W36+Limache!W36+Nogales!W36+Olmue!W36+Papudo!W36+Petorca!W36+Puchuncavi!W36+Quillota!W36+Quilpue!W36+Quintero!W36+'Villa Alemana'!W36+'Viña del Mar'!W36+Zapallar!W36</f>
        <v>21817029</v>
      </c>
      <c r="X38" s="206">
        <f>+Cabildo!X36+'La Calera'!X36+Concón!X36+Hijuelas!X36+'La Cruz'!X36+'La Ligua'!X36+Limache!X36+Nogales!X36+Olmue!X36+Papudo!X36+Petorca!X36+Puchuncavi!X36+Quillota!X36+Quilpue!X36+Quintero!X36+'Villa Alemana'!X36+'Viña del Mar'!X36+Zapallar!X36</f>
        <v>152893581</v>
      </c>
      <c r="Y38" s="206">
        <f>+Cabildo!Y36+'La Calera'!Y36+Concón!Y36+Hijuelas!Y36+'La Cruz'!Y36+'La Ligua'!Y36+Limache!Y36+Nogales!Y36+Olmue!Y36+Papudo!Y36+Petorca!Y36+Puchuncavi!Y36+Quillota!Y36+Quilpue!Y36+Quintero!Y36+'Villa Alemana'!Y36+'Viña del Mar'!Y36+Zapallar!Y36</f>
        <v>270238744</v>
      </c>
      <c r="Z38" s="206">
        <f>+Cabildo!Z36+'La Calera'!Z36+Concón!Z36+Hijuelas!Z36+'La Cruz'!Z36+'La Ligua'!Z36+Limache!Z36+Nogales!Z36+Olmue!Z36+Papudo!Z36+Petorca!Z36+Puchuncavi!Z36+Quillota!Z36+Quilpue!Z36+Quintero!Z36+'Villa Alemana'!Z36+'Viña del Mar'!Z36+Zapallar!Z36</f>
        <v>64666186</v>
      </c>
      <c r="AA38" s="206">
        <f>+Cabildo!AA36+'La Calera'!AA36+Concón!AA36+Hijuelas!AA36+'La Cruz'!AA36+'La Ligua'!AA36+Limache!AA36+Nogales!AA36+Olmue!AA36+Papudo!AA36+Petorca!AA36+Puchuncavi!AA36+Quillota!AA36+Quilpue!AA36+Quintero!AA36+'Villa Alemana'!AA36+'Viña del Mar'!AA36+Zapallar!AA36</f>
        <v>78894328</v>
      </c>
      <c r="AB38" s="206">
        <f>+Cabildo!AB36+'La Calera'!AB36+Concón!AB36+Hijuelas!AB36+'La Cruz'!AB36+'La Ligua'!AB36+Limache!AB36+Nogales!AB36+Olmue!AB36+Papudo!AB36+Petorca!AB36+Puchuncavi!AB36+Quillota!AB36+Quilpue!AB36+Quintero!AB36+'Villa Alemana'!AB36+'Viña del Mar'!AB36+Zapallar!AB36</f>
        <v>137680465</v>
      </c>
      <c r="AC38" s="206">
        <f>+Cabildo!AC36+'La Calera'!AC36+Concón!AC36+Hijuelas!AC36+'La Cruz'!AC36+'La Ligua'!AC36+Limache!AC36+Nogales!AC36+Olmue!AC36+Papudo!AC36+Petorca!AC36+Puchuncavi!AC36+Quillota!AC36+Quilpue!AC36+Quintero!AC36+'Villa Alemana'!AC36+'Viña del Mar'!AC36+Zapallar!AC36</f>
        <v>117966729</v>
      </c>
      <c r="AD38" s="206">
        <f>+Cabildo!AD36+'La Calera'!AD36+Concón!AD36+Hijuelas!AD36+'La Cruz'!AD36+'La Ligua'!AD36+Limache!AD36+Nogales!AD36+Olmue!AD36+Papudo!AD36+Petorca!AD36+Puchuncavi!AD36+Quillota!AD36+Quilpue!AD36+Quintero!AD36+'Villa Alemana'!AD36+'Viña del Mar'!AD36+Zapallar!AD36</f>
        <v>95945670</v>
      </c>
      <c r="AE38" s="206">
        <f>+Cabildo!AE36+'La Calera'!AE36+Concón!AE36+Hijuelas!AE36+'La Cruz'!AE36+'La Ligua'!AE36+Limache!AE36+Nogales!AE36+Olmue!AE36+Papudo!AE36+Petorca!AE36+Puchuncavi!AE36+Quillota!AE36+Quilpue!AE36+Quintero!AE36+'Villa Alemana'!AE36+'Viña del Mar'!AE36+Zapallar!AE36</f>
        <v>76413061</v>
      </c>
      <c r="AF38" s="221">
        <f>+Cabildo!AF36+'La Calera'!AF36+Concón!AF36+Hijuelas!AF36+'La Cruz'!AF36+'La Ligua'!AF36+Limache!AF36+Nogales!AF36+Olmue!AF36+Papudo!AF36+Petorca!AF36+Puchuncavi!AF36+Quillota!AF36+Quilpue!AF36+Quintero!AF36+'Villa Alemana'!AF36+'Viña del Mar'!AF36+Zapallar!AF36</f>
        <v>43856294</v>
      </c>
      <c r="AG38" s="664">
        <f t="shared" si="9"/>
        <v>1060372087</v>
      </c>
      <c r="AH38" s="431">
        <f t="shared" si="10"/>
        <v>90975952</v>
      </c>
      <c r="AK38" s="235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>SUM(AK38:AV38)</f>
        <v>0</v>
      </c>
      <c r="AX38" s="431">
        <f t="shared" si="11"/>
        <v>1060372087</v>
      </c>
    </row>
    <row r="39" spans="1:50" ht="15">
      <c r="A39" s="18">
        <v>4</v>
      </c>
      <c r="B39" s="7" t="s">
        <v>75</v>
      </c>
      <c r="C39" s="147"/>
      <c r="D39" s="21">
        <f>+Cabildo!D37+'La Calera'!D37+Concón!D37+Hijuelas!D37+'La Cruz'!D37+'La Ligua'!D37+Limache!D37+Nogales!D37+Olmue!D37+Papudo!D37+Petorca!D37+Puchuncavi!D37+Quillota!D37+Quilpue!D37+Quintero!D37+'Villa Alemana'!D37+'Viña del Mar'!D37+Zapallar!D37</f>
        <v>0</v>
      </c>
      <c r="E39" s="142"/>
      <c r="F39" s="143"/>
      <c r="G39" s="160"/>
      <c r="H39" s="324">
        <f t="shared" si="8"/>
        <v>0</v>
      </c>
      <c r="I39" s="252">
        <f>+Cabildo!I37+'La Calera'!I37+Concón!I37+Hijuelas!I37+'La Cruz'!I37+'La Ligua'!I37+Limache!I37+Nogales!I37+Olmue!I37+Papudo!I37+Petorca!I37+Puchuncavi!I37+Quillota!I37+Quilpue!I37+Quintero!I37+'Villa Alemana'!I37+'Viña del Mar'!I37+Zapallar!I37</f>
        <v>0</v>
      </c>
      <c r="J39" s="206">
        <f>+Cabildo!J37+'La Calera'!J37+Concón!J37+Hijuelas!J37+'La Cruz'!J37+'La Ligua'!J37+Limache!J37+Nogales!J37+Olmue!J37+Papudo!J37+Petorca!J37+Puchuncavi!J37+Quillota!J37+Quilpue!J37+Quintero!J37+'Villa Alemana'!J37+'Viña del Mar'!J37+Zapallar!J37</f>
        <v>0</v>
      </c>
      <c r="K39" s="206">
        <f>+Cabildo!K37+'La Calera'!K37+Concón!K37+Hijuelas!K37+'La Cruz'!K37+'La Ligua'!K37+Limache!K37+Nogales!K37+Olmue!K37+Papudo!K37+Petorca!K37+Puchuncavi!K37+Quillota!K37+Quilpue!K37+Quintero!K37+'Villa Alemana'!K37+'Viña del Mar'!K37+Zapallar!K37</f>
        <v>0</v>
      </c>
      <c r="L39" s="206">
        <f>+Cabildo!L37+'La Calera'!L37+Concón!L37+Hijuelas!L37+'La Cruz'!L37+'La Ligua'!L37+Limache!L37+Nogales!L37+Olmue!L37+Papudo!L37+Petorca!L37+Puchuncavi!L37+Quillota!L37+Quilpue!L37+Quintero!L37+'Villa Alemana'!L37+'Viña del Mar'!L37+Zapallar!L37</f>
        <v>0</v>
      </c>
      <c r="M39" s="206">
        <f>+Cabildo!M37+'La Calera'!M37+Concón!M37+Hijuelas!M37+'La Cruz'!M37+'La Ligua'!M37+Limache!M37+Nogales!M37+Olmue!M37+Papudo!M37+Petorca!M37+Puchuncavi!M37+Quillota!M37+Quilpue!M37+Quintero!M37+'Villa Alemana'!M37+'Viña del Mar'!M37+Zapallar!M37</f>
        <v>0</v>
      </c>
      <c r="N39" s="206">
        <f>+Cabildo!N37+'La Calera'!N37+Concón!N37+Hijuelas!N37+'La Cruz'!N37+'La Ligua'!N37+Limache!N37+Nogales!N37+Olmue!N37+Papudo!N37+Petorca!N37+Puchuncavi!N37+Quillota!N37+Quilpue!N37+Quintero!N37+'Villa Alemana'!N37+'Viña del Mar'!N37+Zapallar!N37</f>
        <v>0</v>
      </c>
      <c r="O39" s="206">
        <f>+Cabildo!O37+'La Calera'!O37+Concón!O37+Hijuelas!O37+'La Cruz'!O37+'La Ligua'!O37+Limache!O37+Nogales!O37+Olmue!O37+Papudo!O37+Petorca!O37+Puchuncavi!O37+Quillota!O37+Quilpue!O37+Quintero!O37+'Villa Alemana'!O37+'Viña del Mar'!O37+Zapallar!O37</f>
        <v>0</v>
      </c>
      <c r="P39" s="206">
        <f>+Cabildo!P37+'La Calera'!P37+Concón!P37+Hijuelas!P37+'La Cruz'!P37+'La Ligua'!P37+Limache!P37+Nogales!P37+Olmue!P37+Papudo!P37+Petorca!P37+Puchuncavi!P37+Quillota!P37+Quilpue!P37+Quintero!P37+'Villa Alemana'!P37+'Viña del Mar'!P37+Zapallar!P37</f>
        <v>0</v>
      </c>
      <c r="Q39" s="206">
        <f>+Cabildo!Q37+'La Calera'!Q37+Concón!Q37+Hijuelas!Q37+'La Cruz'!Q37+'La Ligua'!Q37+Limache!Q37+Nogales!Q37+Olmue!Q37+Papudo!Q37+Petorca!Q37+Puchuncavi!Q37+Quillota!Q37+Quilpue!Q37+Quintero!Q37+'Villa Alemana'!Q37+'Viña del Mar'!Q37+Zapallar!Q37</f>
        <v>0</v>
      </c>
      <c r="R39" s="206">
        <f>+Cabildo!R37+'La Calera'!R37+Concón!R37+Hijuelas!R37+'La Cruz'!R37+'La Ligua'!R37+Limache!R37+Nogales!R37+Olmue!R37+Papudo!R37+Petorca!R37+Puchuncavi!R37+Quillota!R37+Quilpue!R37+Quintero!R37+'Villa Alemana'!R37+'Viña del Mar'!R37+Zapallar!R37</f>
        <v>0</v>
      </c>
      <c r="S39" s="206">
        <f>+Cabildo!S37+'La Calera'!S37+Concón!S37+Hijuelas!S37+'La Cruz'!S37+'La Ligua'!S37+Limache!S37+Nogales!S37+Olmue!S37+Papudo!S37+Petorca!S37+Puchuncavi!S37+Quillota!S37+Quilpue!S37+Quintero!S37+'Villa Alemana'!S37+'Viña del Mar'!S37+Zapallar!S37</f>
        <v>0</v>
      </c>
      <c r="T39" s="227">
        <f>+Cabildo!T37+'La Calera'!T37+Concón!T37+Hijuelas!T37+'La Cruz'!T37+'La Ligua'!T37+Limache!T37+Nogales!T37+Olmue!T37+Papudo!T37+Petorca!T37+Puchuncavi!T37+Quillota!T37+Quilpue!T37+Quintero!T37+'Villa Alemana'!T37+'Viña del Mar'!T37+Zapallar!T37</f>
        <v>0</v>
      </c>
      <c r="U39" s="235">
        <f>+Cabildo!U37+'La Calera'!U37+Concón!U37+Hijuelas!U37+'La Cruz'!U37+'La Ligua'!U37+Limache!U37+Nogales!U37+Olmue!U37+Papudo!U37+Petorca!U37+Puchuncavi!U37+Quillota!U37+Quilpue!U37+Quintero!U37+'Villa Alemana'!U37+'Viña del Mar'!U37+Zapallar!U37</f>
        <v>0</v>
      </c>
      <c r="V39" s="206">
        <f>+Cabildo!V37+'La Calera'!V37+Concón!V37+Hijuelas!V37+'La Cruz'!V37+'La Ligua'!V37+Limache!V37+Nogales!V37+Olmue!V37+Papudo!V37+Petorca!V37+Puchuncavi!V37+Quillota!V37+Quilpue!V37+Quintero!V37+'Villa Alemana'!V37+'Viña del Mar'!V37+Zapallar!V37</f>
        <v>0</v>
      </c>
      <c r="W39" s="206">
        <f>+Cabildo!W37+'La Calera'!W37+Concón!W37+Hijuelas!W37+'La Cruz'!W37+'La Ligua'!W37+Limache!W37+Nogales!W37+Olmue!W37+Papudo!W37+Petorca!W37+Puchuncavi!W37+Quillota!W37+Quilpue!W37+Quintero!W37+'Villa Alemana'!W37+'Viña del Mar'!W37+Zapallar!W37</f>
        <v>0</v>
      </c>
      <c r="X39" s="206">
        <f>+Cabildo!X37+'La Calera'!X37+Concón!X37+Hijuelas!X37+'La Cruz'!X37+'La Ligua'!X37+Limache!X37+Nogales!X37+Olmue!X37+Papudo!X37+Petorca!X37+Puchuncavi!X37+Quillota!X37+Quilpue!X37+Quintero!X37+'Villa Alemana'!X37+'Viña del Mar'!X37+Zapallar!X37</f>
        <v>0</v>
      </c>
      <c r="Y39" s="206">
        <f>+Cabildo!Y37+'La Calera'!Y37+Concón!Y37+Hijuelas!Y37+'La Cruz'!Y37+'La Ligua'!Y37+Limache!Y37+Nogales!Y37+Olmue!Y37+Papudo!Y37+Petorca!Y37+Puchuncavi!Y37+Quillota!Y37+Quilpue!Y37+Quintero!Y37+'Villa Alemana'!Y37+'Viña del Mar'!Y37+Zapallar!Y37</f>
        <v>0</v>
      </c>
      <c r="Z39" s="206">
        <f>+Cabildo!Z37+'La Calera'!Z37+Concón!Z37+Hijuelas!Z37+'La Cruz'!Z37+'La Ligua'!Z37+Limache!Z37+Nogales!Z37+Olmue!Z37+Papudo!Z37+Petorca!Z37+Puchuncavi!Z37+Quillota!Z37+Quilpue!Z37+Quintero!Z37+'Villa Alemana'!Z37+'Viña del Mar'!Z37+Zapallar!Z37</f>
        <v>0</v>
      </c>
      <c r="AA39" s="206">
        <f>+Cabildo!AA37+'La Calera'!AA37+Concón!AA37+Hijuelas!AA37+'La Cruz'!AA37+'La Ligua'!AA37+Limache!AA37+Nogales!AA37+Olmue!AA37+Papudo!AA37+Petorca!AA37+Puchuncavi!AA37+Quillota!AA37+Quilpue!AA37+Quintero!AA37+'Villa Alemana'!AA37+'Viña del Mar'!AA37+Zapallar!AA37</f>
        <v>0</v>
      </c>
      <c r="AB39" s="206">
        <f>+Cabildo!AB37+'La Calera'!AB37+Concón!AB37+Hijuelas!AB37+'La Cruz'!AB37+'La Ligua'!AB37+Limache!AB37+Nogales!AB37+Olmue!AB37+Papudo!AB37+Petorca!AB37+Puchuncavi!AB37+Quillota!AB37+Quilpue!AB37+Quintero!AB37+'Villa Alemana'!AB37+'Viña del Mar'!AB37+Zapallar!AB37</f>
        <v>0</v>
      </c>
      <c r="AC39" s="206">
        <f>+Cabildo!AC37+'La Calera'!AC37+Concón!AC37+Hijuelas!AC37+'La Cruz'!AC37+'La Ligua'!AC37+Limache!AC37+Nogales!AC37+Olmue!AC37+Papudo!AC37+Petorca!AC37+Puchuncavi!AC37+Quillota!AC37+Quilpue!AC37+Quintero!AC37+'Villa Alemana'!AC37+'Viña del Mar'!AC37+Zapallar!AC37</f>
        <v>0</v>
      </c>
      <c r="AD39" s="206">
        <f>+Cabildo!AD37+'La Calera'!AD37+Concón!AD37+Hijuelas!AD37+'La Cruz'!AD37+'La Ligua'!AD37+Limache!AD37+Nogales!AD37+Olmue!AD37+Papudo!AD37+Petorca!AD37+Puchuncavi!AD37+Quillota!AD37+Quilpue!AD37+Quintero!AD37+'Villa Alemana'!AD37+'Viña del Mar'!AD37+Zapallar!AD37</f>
        <v>0</v>
      </c>
      <c r="AE39" s="206">
        <f>+Cabildo!AE37+'La Calera'!AE37+Concón!AE37+Hijuelas!AE37+'La Cruz'!AE37+'La Ligua'!AE37+Limache!AE37+Nogales!AE37+Olmue!AE37+Papudo!AE37+Petorca!AE37+Puchuncavi!AE37+Quillota!AE37+Quilpue!AE37+Quintero!AE37+'Villa Alemana'!AE37+'Viña del Mar'!AE37+Zapallar!AE37</f>
        <v>0</v>
      </c>
      <c r="AF39" s="221">
        <f>+Cabildo!AF37+'La Calera'!AF37+Concón!AF37+Hijuelas!AF37+'La Cruz'!AF37+'La Ligua'!AF37+Limache!AF37+Nogales!AF37+Olmue!AF37+Papudo!AF37+Petorca!AF37+Puchuncavi!AF37+Quillota!AF37+Quilpue!AF37+Quintero!AF37+'Villa Alemana'!AF37+'Viña del Mar'!AF37+Zapallar!AF37</f>
        <v>0</v>
      </c>
      <c r="AG39" s="664">
        <f t="shared" si="9"/>
        <v>0</v>
      </c>
      <c r="AH39" s="431">
        <f t="shared" si="10"/>
        <v>0</v>
      </c>
      <c r="AK39" s="235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ref="AW39:AW47" si="12">SUM(AK39:AV39)</f>
        <v>0</v>
      </c>
      <c r="AX39" s="431">
        <f t="shared" si="11"/>
        <v>0</v>
      </c>
    </row>
    <row r="40" spans="1:50" ht="15">
      <c r="A40" s="18">
        <v>5</v>
      </c>
      <c r="B40" s="7" t="s">
        <v>101</v>
      </c>
      <c r="C40" s="147"/>
      <c r="D40" s="21">
        <f>+Cabildo!D38+'La Calera'!D38+Concón!D38+Hijuelas!D38+'La Cruz'!D38+'La Ligua'!D38+Limache!D38+Nogales!D38+Olmue!D38+Papudo!D38+Petorca!D38+Puchuncavi!D38+Quillota!D38+Quilpue!D38+Quintero!D38+'Villa Alemana'!D38+'Viña del Mar'!D38+Zapallar!D38</f>
        <v>1439070647</v>
      </c>
      <c r="E40" s="142">
        <f>+D40*E33</f>
        <v>1007349452.9</v>
      </c>
      <c r="F40" s="143">
        <f>+D40*F33</f>
        <v>431721194.09999996</v>
      </c>
      <c r="G40" s="160"/>
      <c r="H40" s="324">
        <f t="shared" si="8"/>
        <v>1439070647.1999998</v>
      </c>
      <c r="I40" s="252">
        <f>+Cabildo!I38+'La Calera'!I38+Concón!I38+Hijuelas!I38+'La Cruz'!I38+'La Ligua'!I38+Limache!I38+Nogales!I38+Olmue!I38+Papudo!I38+Petorca!I38+Puchuncavi!I38+Quillota!I38+Quilpue!I38+Quintero!I38+'Villa Alemana'!I38+'Viña del Mar'!I38+Zapallar!I38</f>
        <v>0</v>
      </c>
      <c r="J40" s="206">
        <f>+Cabildo!J38+'La Calera'!J38+Concón!J38+Hijuelas!J38+'La Cruz'!J38+'La Ligua'!J38+Limache!J38+Nogales!J38+Olmue!J38+Papudo!J38+Petorca!J38+Puchuncavi!J38+Quillota!J38+Quilpue!J38+Quintero!J38+'Villa Alemana'!J38+'Viña del Mar'!J38+Zapallar!J38</f>
        <v>0</v>
      </c>
      <c r="K40" s="206">
        <f>+Cabildo!K38+'La Calera'!K38+Concón!K38+Hijuelas!K38+'La Cruz'!K38+'La Ligua'!K38+Limache!K38+Nogales!K38+Olmue!K38+Papudo!K38+Petorca!K38+Puchuncavi!K38+Quillota!K38+Quilpue!K38+Quintero!K38+'Villa Alemana'!K38+'Viña del Mar'!K38+Zapallar!K38</f>
        <v>764021553.19043601</v>
      </c>
      <c r="L40" s="206">
        <f>+Cabildo!L38+'La Calera'!L38+Concón!L38+Hijuelas!L38+'La Cruz'!L38+'La Ligua'!L38+Limache!L38+Nogales!L38+Olmue!L38+Papudo!L38+Petorca!L38+Puchuncavi!L38+Quillota!L38+Quilpue!L38+Quintero!L38+'Villa Alemana'!L38+'Viña del Mar'!L38+Zapallar!L38</f>
        <v>237706612.30000001</v>
      </c>
      <c r="M40" s="206">
        <f>+Cabildo!M38+'La Calera'!M38+Concón!M38+Hijuelas!M38+'La Cruz'!M38+'La Ligua'!M38+Limache!M38+Nogales!M38+Olmue!M38+Papudo!M38+Petorca!M38+Puchuncavi!M38+Quillota!M38+Quilpue!M38+Quintero!M38+'Villa Alemana'!M38+'Viña del Mar'!M38+Zapallar!M38</f>
        <v>5714620.5095638959</v>
      </c>
      <c r="N40" s="206">
        <f>+Cabildo!N38+'La Calera'!N38+Concón!N38+Hijuelas!N38+'La Cruz'!N38+'La Ligua'!N38+Limache!N38+Nogales!N38+Olmue!N38+Papudo!N38+Petorca!N38+Puchuncavi!N38+Quillota!N38+Quilpue!N38+Quintero!N38+'Villa Alemana'!N38+'Viña del Mar'!N38+Zapallar!N38</f>
        <v>0</v>
      </c>
      <c r="O40" s="206">
        <f>+Cabildo!O38+'La Calera'!O38+Concón!O38+Hijuelas!O38+'La Cruz'!O38+'La Ligua'!O38+Limache!O38+Nogales!O38+Olmue!O38+Papudo!O38+Petorca!O38+Puchuncavi!O38+Quillota!O38+Quilpue!O38+Quintero!O38+'Villa Alemana'!O38+'Viña del Mar'!O38+Zapallar!O38</f>
        <v>0</v>
      </c>
      <c r="P40" s="206">
        <f>+Cabildo!P38+'La Calera'!P38+Concón!P38+Hijuelas!P38+'La Cruz'!P38+'La Ligua'!P38+Limache!P38+Nogales!P38+Olmue!P38+Papudo!P38+Petorca!P38+Puchuncavi!P38+Quillota!P38+Quilpue!P38+Quintero!P38+'Villa Alemana'!P38+'Viña del Mar'!P38+Zapallar!P38</f>
        <v>0</v>
      </c>
      <c r="Q40" s="206">
        <f>+Cabildo!Q38+'La Calera'!Q38+Concón!Q38+Hijuelas!Q38+'La Cruz'!Q38+'La Ligua'!Q38+Limache!Q38+Nogales!Q38+Olmue!Q38+Papudo!Q38+Petorca!Q38+Puchuncavi!Q38+Quillota!Q38+Quilpue!Q38+Quintero!Q38+'Villa Alemana'!Q38+'Viña del Mar'!Q38+Zapallar!Q38</f>
        <v>0</v>
      </c>
      <c r="R40" s="206">
        <f>+Cabildo!R38+'La Calera'!R38+Concón!R38+Hijuelas!R38+'La Cruz'!R38+'La Ligua'!R38+Limache!R38+Nogales!R38+Olmue!R38+Papudo!R38+Petorca!R38+Puchuncavi!R38+Quillota!R38+Quilpue!R38+Quintero!R38+'Villa Alemana'!R38+'Viña del Mar'!R38+Zapallar!R38</f>
        <v>423654561.19999993</v>
      </c>
      <c r="S40" s="683">
        <f>+Cabildo!S38+'La Calera'!S38+Concón!S38+Hijuelas!S38+'La Cruz'!S38+'La Ligua'!S38+Limache!S38+Nogales!S38+Olmue!S38+Papudo!S38+Petorca!S38+Puchuncavi!S38+Quillota!S38+Quilpue!S38+Quintero!S38+'Villa Alemana'!S38+'Viña del Mar'!S38+Zapallar!S38</f>
        <v>7973300.0000000019</v>
      </c>
      <c r="T40" s="227">
        <f>+Cabildo!T38+'La Calera'!T38+Concón!T38+Hijuelas!T38+'La Cruz'!T38+'La Ligua'!T38+Limache!T38+Nogales!T38+Olmue!T38+Papudo!T38+Petorca!T38+Puchuncavi!T38+Quillota!T38+Quilpue!T38+Quintero!T38+'Villa Alemana'!T38+'Viña del Mar'!T38+Zapallar!T38</f>
        <v>0</v>
      </c>
      <c r="U40" s="235">
        <f>+Cabildo!U38+'La Calera'!U38+Concón!U38+Hijuelas!U38+'La Cruz'!U38+'La Ligua'!U38+Limache!U38+Nogales!U38+Olmue!U38+Papudo!U38+Petorca!U38+Puchuncavi!U38+Quillota!U38+Quilpue!U38+Quintero!U38+'Villa Alemana'!U38+'Viña del Mar'!U38+Zapallar!U38</f>
        <v>0</v>
      </c>
      <c r="V40" s="206">
        <f>+Cabildo!V38+'La Calera'!V38+Concón!V38+Hijuelas!V38+'La Cruz'!V38+'La Ligua'!V38+Limache!V38+Nogales!V38+Olmue!V38+Papudo!V38+Petorca!V38+Puchuncavi!V38+Quillota!V38+Quilpue!V38+Quintero!V38+'Villa Alemana'!V38+'Viña del Mar'!V38+Zapallar!V38</f>
        <v>0</v>
      </c>
      <c r="W40" s="206">
        <f>+Cabildo!W38+'La Calera'!W38+Concón!W38+Hijuelas!W38+'La Cruz'!W38+'La Ligua'!W38+Limache!W38+Nogales!W38+Olmue!W38+Papudo!W38+Petorca!W38+Puchuncavi!W38+Quillota!W38+Quilpue!W38+Quintero!W38+'Villa Alemana'!W38+'Viña del Mar'!W38+Zapallar!W38</f>
        <v>764021553.19043601</v>
      </c>
      <c r="X40" s="206">
        <f>+Cabildo!X38+'La Calera'!X38+Concón!X38+Hijuelas!X38+'La Cruz'!X38+'La Ligua'!X38+Limache!X38+Nogales!X38+Olmue!X38+Papudo!X38+Petorca!X38+Puchuncavi!X38+Quillota!X38+Quilpue!X38+Quintero!X38+'Villa Alemana'!X38+'Viña del Mar'!X38+Zapallar!X38</f>
        <v>237613279.70000002</v>
      </c>
      <c r="Y40" s="206">
        <f>+Cabildo!Y38+'La Calera'!Y38+Concón!Y38+Hijuelas!Y38+'La Cruz'!Y38+'La Ligua'!Y38+Limache!Y38+Nogales!Y38+Olmue!Y38+Papudo!Y38+Petorca!Y38+Puchuncavi!Y38+Quillota!Y38+Quilpue!Y38+Quintero!Y38+'Villa Alemana'!Y38+'Viña del Mar'!Y38+Zapallar!Y38</f>
        <v>5714620.5095638959</v>
      </c>
      <c r="Z40" s="206">
        <f>+Cabildo!Z38+'La Calera'!Z38+Concón!Z38+Hijuelas!Z38+'La Cruz'!Z38+'La Ligua'!Z38+Limache!Z38+Nogales!Z38+Olmue!Z38+Papudo!Z38+Petorca!Z38+Puchuncavi!Z38+Quillota!Z38+Quilpue!Z38+Quintero!Z38+'Villa Alemana'!Z38+'Viña del Mar'!Z38+Zapallar!Z38</f>
        <v>0</v>
      </c>
      <c r="AA40" s="206">
        <f>+Cabildo!AA38+'La Calera'!AA38+Concón!AA38+Hijuelas!AA38+'La Cruz'!AA38+'La Ligua'!AA38+Limache!AA38+Nogales!AA38+Olmue!AA38+Papudo!AA38+Petorca!AA38+Puchuncavi!AA38+Quillota!AA38+Quilpue!AA38+Quintero!AA38+'Villa Alemana'!AA38+'Viña del Mar'!AA38+Zapallar!AA38</f>
        <v>0</v>
      </c>
      <c r="AB40" s="206">
        <f>+Cabildo!AB38+'La Calera'!AB38+Concón!AB38+Hijuelas!AB38+'La Cruz'!AB38+'La Ligua'!AB38+Limache!AB38+Nogales!AB38+Olmue!AB38+Papudo!AB38+Petorca!AB38+Puchuncavi!AB38+Quillota!AB38+Quilpue!AB38+Quintero!AB38+'Villa Alemana'!AB38+'Viña del Mar'!AB38+Zapallar!AB38</f>
        <v>0</v>
      </c>
      <c r="AC40" s="206">
        <f>+Cabildo!AC38+'La Calera'!AC38+Concón!AC38+Hijuelas!AC38+'La Cruz'!AC38+'La Ligua'!AC38+Limache!AC38+Nogales!AC38+Olmue!AC38+Papudo!AC38+Petorca!AC38+Puchuncavi!AC38+Quillota!AC38+Quilpue!AC38+Quintero!AC38+'Villa Alemana'!AC38+'Viña del Mar'!AC38+Zapallar!AC38</f>
        <v>0</v>
      </c>
      <c r="AD40" s="206">
        <f>+Cabildo!AD38+'La Calera'!AD38+Concón!AD38+Hijuelas!AD38+'La Cruz'!AD38+'La Ligua'!AD38+Limache!AD38+Nogales!AD38+Olmue!AD38+Papudo!AD38+Petorca!AD38+Puchuncavi!AD38+Quillota!AD38+Quilpue!AD38+Quintero!AD38+'Villa Alemana'!AD38+'Viña del Mar'!AD38+Zapallar!AD38</f>
        <v>399521109.10000002</v>
      </c>
      <c r="AE40" s="206">
        <f>+Cabildo!AE38+'La Calera'!AE38+Concón!AE38+Hijuelas!AE38+'La Cruz'!AE38+'La Ligua'!AE38+Limache!AE38+Nogales!AE38+Olmue!AE38+Papudo!AE38+Petorca!AE38+Puchuncavi!AE38+Quillota!AE38+Quilpue!AE38+Quintero!AE38+'Villa Alemana'!AE38+'Viña del Mar'!AE38+Zapallar!AE38</f>
        <v>32106752.100000009</v>
      </c>
      <c r="AF40" s="221">
        <f>+Cabildo!AF38+'La Calera'!AF38+Concón!AF38+Hijuelas!AF38+'La Cruz'!AF38+'La Ligua'!AF38+Limache!AF38+Nogales!AF38+Olmue!AF38+Papudo!AF38+Petorca!AF38+Puchuncavi!AF38+Quillota!AF38+Quilpue!AF38+Quintero!AF38+'Villa Alemana'!AF38+'Viña del Mar'!AF38+Zapallar!AF38</f>
        <v>0</v>
      </c>
      <c r="AG40" s="664">
        <f t="shared" si="9"/>
        <v>1438977314.5999999</v>
      </c>
      <c r="AH40" s="431">
        <f t="shared" si="10"/>
        <v>93332.599999904633</v>
      </c>
      <c r="AK40" s="235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12"/>
        <v>0</v>
      </c>
      <c r="AX40" s="431">
        <f t="shared" si="11"/>
        <v>1438977314.5999999</v>
      </c>
    </row>
    <row r="41" spans="1:50" ht="15">
      <c r="A41" s="18">
        <v>6</v>
      </c>
      <c r="B41" s="7" t="s">
        <v>102</v>
      </c>
      <c r="C41" s="147"/>
      <c r="D41" s="21">
        <f>+Cabildo!D39+'La Calera'!D39+Concón!D39+Hijuelas!D39+'La Cruz'!D39+'La Ligua'!D39+Limache!D39+Nogales!D39+Olmue!D39+Papudo!D39+Petorca!D39+Puchuncavi!D39+Quillota!D39+Quilpue!D39+Quintero!D39+'Villa Alemana'!D39+'Viña del Mar'!D39+Zapallar!D39</f>
        <v>83526300</v>
      </c>
      <c r="E41" s="142">
        <f>+D41*E33</f>
        <v>58468410</v>
      </c>
      <c r="F41" s="143">
        <f>+D41*F33</f>
        <v>25057890</v>
      </c>
      <c r="G41" s="160"/>
      <c r="H41" s="324">
        <f t="shared" si="8"/>
        <v>83526300</v>
      </c>
      <c r="I41" s="252">
        <f>+Cabildo!I39+'La Calera'!I39+Concón!I39+Hijuelas!I39+'La Cruz'!I39+'La Ligua'!I39+Limache!I39+Nogales!I39+Olmue!I39+Papudo!I39+Petorca!I39+Puchuncavi!I39+Quillota!I39+Quilpue!I39+Quintero!I39+'Villa Alemana'!I39+'Viña del Mar'!I39+Zapallar!I39</f>
        <v>0</v>
      </c>
      <c r="J41" s="206">
        <f>+Cabildo!J39+'La Calera'!J39+Concón!J39+Hijuelas!J39+'La Cruz'!J39+'La Ligua'!J39+Limache!J39+Nogales!J39+Olmue!J39+Papudo!J39+Petorca!J39+Puchuncavi!J39+Quillota!J39+Quilpue!J39+Quintero!J39+'Villa Alemana'!J39+'Viña del Mar'!J39+Zapallar!J39</f>
        <v>0</v>
      </c>
      <c r="K41" s="206">
        <f>+Cabildo!K39+'La Calera'!K39+Concón!K39+Hijuelas!K39+'La Cruz'!K39+'La Ligua'!K39+Limache!K39+Nogales!K39+Olmue!K39+Papudo!K39+Petorca!K39+Puchuncavi!K39+Quillota!K39+Quilpue!K39+Quintero!K39+'Villa Alemana'!K39+'Viña del Mar'!K39+Zapallar!K39</f>
        <v>46141042.30956389</v>
      </c>
      <c r="L41" s="206">
        <f>+Cabildo!L39+'La Calera'!L39+Concón!L39+Hijuelas!L39+'La Cruz'!L39+'La Ligua'!L39+Limache!L39+Nogales!L39+Olmue!L39+Papudo!L39+Petorca!L39+Puchuncavi!L39+Quillota!L39+Quilpue!L39+Quintero!L39+'Villa Alemana'!L39+'Viña del Mar'!L39+Zapallar!L39</f>
        <v>11354583</v>
      </c>
      <c r="M41" s="206">
        <f>+Cabildo!M39+'La Calera'!M39+Concón!M39+Hijuelas!M39+'La Cruz'!M39+'La Ligua'!M39+Limache!M39+Nogales!M39+Olmue!M39+Papudo!M39+Petorca!M39+Puchuncavi!M39+Quillota!M39+Quilpue!M39+Quintero!M39+'Villa Alemana'!M39+'Viña del Mar'!M39+Zapallar!M39</f>
        <v>1066117.690436108</v>
      </c>
      <c r="N41" s="206">
        <f>+Cabildo!N39+'La Calera'!N39+Concón!N39+Hijuelas!N39+'La Cruz'!N39+'La Ligua'!N39+Limache!N39+Nogales!N39+Olmue!N39+Papudo!N39+Petorca!N39+Puchuncavi!N39+Quillota!N39+Quilpue!N39+Quintero!N39+'Villa Alemana'!N39+'Viña del Mar'!N39+Zapallar!N39</f>
        <v>0</v>
      </c>
      <c r="O41" s="206">
        <f>+Cabildo!O39+'La Calera'!O39+Concón!O39+Hijuelas!O39+'La Cruz'!O39+'La Ligua'!O39+Limache!O39+Nogales!O39+Olmue!O39+Papudo!O39+Petorca!O39+Puchuncavi!O39+Quillota!O39+Quilpue!O39+Quintero!O39+'Villa Alemana'!O39+'Viña del Mar'!O39+Zapallar!O39</f>
        <v>0</v>
      </c>
      <c r="P41" s="206">
        <f>+Cabildo!P39+'La Calera'!P39+Concón!P39+Hijuelas!P39+'La Cruz'!P39+'La Ligua'!P39+Limache!P39+Nogales!P39+Olmue!P39+Papudo!P39+Petorca!P39+Puchuncavi!P39+Quillota!P39+Quilpue!P39+Quintero!P39+'Villa Alemana'!P39+'Viña del Mar'!P39+Zapallar!P39</f>
        <v>0</v>
      </c>
      <c r="Q41" s="206">
        <f>+Cabildo!Q39+'La Calera'!Q39+Concón!Q39+Hijuelas!Q39+'La Cruz'!Q39+'La Ligua'!Q39+Limache!Q39+Nogales!Q39+Olmue!Q39+Papudo!Q39+Petorca!Q39+Puchuncavi!Q39+Quillota!Q39+Quilpue!Q39+Quintero!Q39+'Villa Alemana'!Q39+'Viña del Mar'!Q39+Zapallar!Q39</f>
        <v>0</v>
      </c>
      <c r="R41" s="206">
        <f>+Cabildo!R39+'La Calera'!R39+Concón!R39+Hijuelas!R39+'La Cruz'!R39+'La Ligua'!R39+Limache!R39+Nogales!R39+Olmue!R39+Papudo!R39+Petorca!R39+Puchuncavi!R39+Quillota!R39+Quilpue!R39+Quintero!R39+'Villa Alemana'!R39+'Viña del Mar'!R39+Zapallar!R39</f>
        <v>24964557</v>
      </c>
      <c r="S41" s="206">
        <f>+Cabildo!S39+'La Calera'!S39+Concón!S39+Hijuelas!S39+'La Cruz'!S39+'La Ligua'!S39+Limache!S39+Nogales!S39+Olmue!S39+Papudo!S39+Petorca!S39+Puchuncavi!S39+Quillota!S39+Quilpue!S39+Quintero!S39+'Villa Alemana'!S39+'Viña del Mar'!S39+Zapallar!S39</f>
        <v>0</v>
      </c>
      <c r="T41" s="227">
        <f>+Cabildo!T39+'La Calera'!T39+Concón!T39+Hijuelas!T39+'La Cruz'!T39+'La Ligua'!T39+Limache!T39+Nogales!T39+Olmue!T39+Papudo!T39+Petorca!T39+Puchuncavi!T39+Quillota!T39+Quilpue!T39+Quintero!T39+'Villa Alemana'!T39+'Viña del Mar'!T39+Zapallar!T39</f>
        <v>0</v>
      </c>
      <c r="U41" s="235">
        <f>+Cabildo!U39+'La Calera'!U39+Concón!U39+Hijuelas!U39+'La Cruz'!U39+'La Ligua'!U39+Limache!U39+Nogales!U39+Olmue!U39+Papudo!U39+Petorca!U39+Puchuncavi!U39+Quillota!U39+Quilpue!U39+Quintero!U39+'Villa Alemana'!U39+'Viña del Mar'!U39+Zapallar!U39</f>
        <v>0</v>
      </c>
      <c r="V41" s="206">
        <f>+Cabildo!V39+'La Calera'!V39+Concón!V39+Hijuelas!V39+'La Cruz'!V39+'La Ligua'!V39+Limache!V39+Nogales!V39+Olmue!V39+Papudo!V39+Petorca!V39+Puchuncavi!V39+Quillota!V39+Quilpue!V39+Quintero!V39+'Villa Alemana'!V39+'Viña del Mar'!V39+Zapallar!V39</f>
        <v>0</v>
      </c>
      <c r="W41" s="206">
        <f>+Cabildo!W39+'La Calera'!W39+Concón!W39+Hijuelas!W39+'La Cruz'!W39+'La Ligua'!W39+Limache!W39+Nogales!W39+Olmue!W39+Papudo!W39+Petorca!W39+Puchuncavi!W39+Quillota!W39+Quilpue!W39+Quintero!W39+'Villa Alemana'!W39+'Viña del Mar'!W39+Zapallar!W39</f>
        <v>46141042.30956389</v>
      </c>
      <c r="X41" s="206">
        <f>+Cabildo!X39+'La Calera'!X39+Concón!X39+Hijuelas!X39+'La Cruz'!X39+'La Ligua'!X39+Limache!X39+Nogales!X39+Olmue!X39+Papudo!X39+Petorca!X39+Puchuncavi!X39+Quillota!X39+Quilpue!X39+Quintero!X39+'Villa Alemana'!X39+'Viña del Mar'!X39+Zapallar!X39</f>
        <v>11261250.4</v>
      </c>
      <c r="Y41" s="206">
        <f>+Cabildo!Y39+'La Calera'!Y39+Concón!Y39+Hijuelas!Y39+'La Cruz'!Y39+'La Ligua'!Y39+Limache!Y39+Nogales!Y39+Olmue!Y39+Papudo!Y39+Petorca!Y39+Puchuncavi!Y39+Quillota!Y39+Quilpue!Y39+Quintero!Y39+'Villa Alemana'!Y39+'Viña del Mar'!Y39+Zapallar!Y39</f>
        <v>1066117.690436108</v>
      </c>
      <c r="Z41" s="206">
        <f>+Cabildo!Z39+'La Calera'!Z39+Concón!Z39+Hijuelas!Z39+'La Cruz'!Z39+'La Ligua'!Z39+Limache!Z39+Nogales!Z39+Olmue!Z39+Papudo!Z39+Petorca!Z39+Puchuncavi!Z39+Quillota!Z39+Quilpue!Z39+Quintero!Z39+'Villa Alemana'!Z39+'Viña del Mar'!Z39+Zapallar!Z39</f>
        <v>0</v>
      </c>
      <c r="AA41" s="206">
        <f>+Cabildo!AA39+'La Calera'!AA39+Concón!AA39+Hijuelas!AA39+'La Cruz'!AA39+'La Ligua'!AA39+Limache!AA39+Nogales!AA39+Olmue!AA39+Papudo!AA39+Petorca!AA39+Puchuncavi!AA39+Quillota!AA39+Quilpue!AA39+Quintero!AA39+'Villa Alemana'!AA39+'Viña del Mar'!AA39+Zapallar!AA39</f>
        <v>0</v>
      </c>
      <c r="AB41" s="206">
        <f>+Cabildo!AB39+'La Calera'!AB39+Concón!AB39+Hijuelas!AB39+'La Cruz'!AB39+'La Ligua'!AB39+Limache!AB39+Nogales!AB39+Olmue!AB39+Papudo!AB39+Petorca!AB39+Puchuncavi!AB39+Quillota!AB39+Quilpue!AB39+Quintero!AB39+'Villa Alemana'!AB39+'Viña del Mar'!AB39+Zapallar!AB39</f>
        <v>0</v>
      </c>
      <c r="AC41" s="206">
        <f>+Cabildo!AC39+'La Calera'!AC39+Concón!AC39+Hijuelas!AC39+'La Cruz'!AC39+'La Ligua'!AC39+Limache!AC39+Nogales!AC39+Olmue!AC39+Papudo!AC39+Petorca!AC39+Puchuncavi!AC39+Quillota!AC39+Quilpue!AC39+Quintero!AC39+'Villa Alemana'!AC39+'Viña del Mar'!AC39+Zapallar!AC39</f>
        <v>0</v>
      </c>
      <c r="AD41" s="206">
        <f>+Cabildo!AD39+'La Calera'!AD39+Concón!AD39+Hijuelas!AD39+'La Cruz'!AD39+'La Ligua'!AD39+Limache!AD39+Nogales!AD39+Olmue!AD39+Papudo!AD39+Petorca!AD39+Puchuncavi!AD39+Quillota!AD39+Quilpue!AD39+Quintero!AD39+'Villa Alemana'!AD39+'Viña del Mar'!AD39+Zapallar!AD39</f>
        <v>24424017</v>
      </c>
      <c r="AE41" s="206">
        <f>+Cabildo!AE39+'La Calera'!AE39+Concón!AE39+Hijuelas!AE39+'La Cruz'!AE39+'La Ligua'!AE39+Limache!AE39+Nogales!AE39+Olmue!AE39+Papudo!AE39+Petorca!AE39+Puchuncavi!AE39+Quillota!AE39+Quilpue!AE39+Quintero!AE39+'Villa Alemana'!AE39+'Viña del Mar'!AE39+Zapallar!AE39</f>
        <v>540540</v>
      </c>
      <c r="AF41" s="221">
        <f>+Cabildo!AF39+'La Calera'!AF39+Concón!AF39+Hijuelas!AF39+'La Cruz'!AF39+'La Ligua'!AF39+Limache!AF39+Nogales!AF39+Olmue!AF39+Papudo!AF39+Petorca!AF39+Puchuncavi!AF39+Quillota!AF39+Quilpue!AF39+Quintero!AF39+'Villa Alemana'!AF39+'Viña del Mar'!AF39+Zapallar!AF39</f>
        <v>0</v>
      </c>
      <c r="AG41" s="664">
        <f t="shared" si="9"/>
        <v>83432967.400000006</v>
      </c>
      <c r="AH41" s="431">
        <f t="shared" si="10"/>
        <v>93332.59999999404</v>
      </c>
      <c r="AK41" s="235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12"/>
        <v>0</v>
      </c>
      <c r="AX41" s="431">
        <f t="shared" si="11"/>
        <v>83432967.400000006</v>
      </c>
    </row>
    <row r="42" spans="1:50" ht="15">
      <c r="A42" s="18">
        <v>7</v>
      </c>
      <c r="B42" s="7" t="s">
        <v>112</v>
      </c>
      <c r="C42" s="147"/>
      <c r="D42" s="21">
        <f>+Cabildo!D40+'La Calera'!D40+Concón!D40+Hijuelas!D40+'La Cruz'!D40+'La Ligua'!D40+Limache!D40+Nogales!D40+Olmue!D40+Papudo!D40+Petorca!D40+Puchuncavi!D40+Quillota!D40+Quilpue!D40+Quintero!D40+'Villa Alemana'!D40+'Viña del Mar'!D40+Zapallar!D40</f>
        <v>31795200</v>
      </c>
      <c r="E42" s="142"/>
      <c r="F42" s="143"/>
      <c r="G42" s="160"/>
      <c r="H42" s="324">
        <f t="shared" si="8"/>
        <v>31795200</v>
      </c>
      <c r="I42" s="252">
        <f>+Cabildo!I40+'La Calera'!I40+Concón!I40+Hijuelas!I40+'La Cruz'!I40+'La Ligua'!I40+Limache!I40+Nogales!I40+Olmue!I40+Papudo!I40+Petorca!I40+Puchuncavi!I40+Quillota!I40+Quilpue!I40+Quintero!I40+'Villa Alemana'!I40+'Viña del Mar'!I40+Zapallar!I40</f>
        <v>0</v>
      </c>
      <c r="J42" s="206">
        <f>+Cabildo!J40+'La Calera'!J40+Concón!J40+Hijuelas!J40+'La Cruz'!J40+'La Ligua'!J40+Limache!J40+Nogales!J40+Olmue!J40+Papudo!J40+Petorca!J40+Puchuncavi!J40+Quillota!J40+Quilpue!J40+Quintero!J40+'Villa Alemana'!J40+'Viña del Mar'!J40+Zapallar!J40</f>
        <v>0</v>
      </c>
      <c r="K42" s="206">
        <f>+Cabildo!K40+'La Calera'!K40+Concón!K40+Hijuelas!K40+'La Cruz'!K40+'La Ligua'!K40+Limache!K40+Nogales!K40+Olmue!K40+Papudo!K40+Petorca!K40+Puchuncavi!K40+Quillota!K40+Quilpue!K40+Quintero!K40+'Villa Alemana'!K40+'Viña del Mar'!K40+Zapallar!K40</f>
        <v>0</v>
      </c>
      <c r="L42" s="206">
        <f>+Cabildo!L40+'La Calera'!L40+Concón!L40+Hijuelas!L40+'La Cruz'!L40+'La Ligua'!L40+Limache!L40+Nogales!L40+Olmue!L40+Papudo!L40+Petorca!L40+Puchuncavi!L40+Quillota!L40+Quilpue!L40+Quintero!L40+'Villa Alemana'!L40+'Viña del Mar'!L40+Zapallar!L40</f>
        <v>22069973</v>
      </c>
      <c r="M42" s="206">
        <f>+Cabildo!M40+'La Calera'!M40+Concón!M40+Hijuelas!M40+'La Cruz'!M40+'La Ligua'!M40+Limache!M40+Nogales!M40+Olmue!M40+Papudo!M40+Petorca!M40+Puchuncavi!M40+Quillota!M40+Quilpue!M40+Quintero!M40+'Villa Alemana'!M40+'Viña del Mar'!M40+Zapallar!M40</f>
        <v>0</v>
      </c>
      <c r="N42" s="206">
        <f>+Cabildo!N40+'La Calera'!N40+Concón!N40+Hijuelas!N40+'La Cruz'!N40+'La Ligua'!N40+Limache!N40+Nogales!N40+Olmue!N40+Papudo!N40+Petorca!N40+Puchuncavi!N40+Quillota!N40+Quilpue!N40+Quintero!N40+'Villa Alemana'!N40+'Viña del Mar'!N40+Zapallar!N40</f>
        <v>0</v>
      </c>
      <c r="O42" s="206">
        <f>+Cabildo!O40+'La Calera'!O40+Concón!O40+Hijuelas!O40+'La Cruz'!O40+'La Ligua'!O40+Limache!O40+Nogales!O40+Olmue!O40+Papudo!O40+Petorca!O40+Puchuncavi!O40+Quillota!O40+Quilpue!O40+Quintero!O40+'Villa Alemana'!O40+'Viña del Mar'!O40+Zapallar!O40</f>
        <v>0</v>
      </c>
      <c r="P42" s="206">
        <f>+Cabildo!P40+'La Calera'!P40+Concón!P40+Hijuelas!P40+'La Cruz'!P40+'La Ligua'!P40+Limache!P40+Nogales!P40+Olmue!P40+Papudo!P40+Petorca!P40+Puchuncavi!P40+Quillota!P40+Quilpue!P40+Quintero!P40+'Villa Alemana'!P40+'Viña del Mar'!P40+Zapallar!P40</f>
        <v>0</v>
      </c>
      <c r="Q42" s="206">
        <f>+Cabildo!Q40+'La Calera'!Q40+Concón!Q40+Hijuelas!Q40+'La Cruz'!Q40+'La Ligua'!Q40+Limache!Q40+Nogales!Q40+Olmue!Q40+Papudo!Q40+Petorca!Q40+Puchuncavi!Q40+Quillota!Q40+Quilpue!Q40+Quintero!Q40+'Villa Alemana'!Q40+'Viña del Mar'!Q40+Zapallar!Q40</f>
        <v>0</v>
      </c>
      <c r="R42" s="206">
        <f>+Cabildo!R40+'La Calera'!R40+Concón!R40+Hijuelas!R40+'La Cruz'!R40+'La Ligua'!R40+Limache!R40+Nogales!R40+Olmue!R40+Papudo!R40+Petorca!R40+Puchuncavi!R40+Quillota!R40+Quilpue!R40+Quintero!R40+'Villa Alemana'!R40+'Viña del Mar'!R40+Zapallar!R40</f>
        <v>9725227</v>
      </c>
      <c r="S42" s="206">
        <f>+Cabildo!S40+'La Calera'!S40+Concón!S40+Hijuelas!S40+'La Cruz'!S40+'La Ligua'!S40+Limache!S40+Nogales!S40+Olmue!S40+Papudo!S40+Petorca!S40+Puchuncavi!S40+Quillota!S40+Quilpue!S40+Quintero!S40+'Villa Alemana'!S40+'Viña del Mar'!S40+Zapallar!S40</f>
        <v>0</v>
      </c>
      <c r="T42" s="227">
        <f>+Cabildo!T40+'La Calera'!T40+Concón!T40+Hijuelas!T40+'La Cruz'!T40+'La Ligua'!T40+Limache!T40+Nogales!T40+Olmue!T40+Papudo!T40+Petorca!T40+Puchuncavi!T40+Quillota!T40+Quilpue!T40+Quintero!T40+'Villa Alemana'!T40+'Viña del Mar'!T40+Zapallar!T40</f>
        <v>0</v>
      </c>
      <c r="U42" s="235">
        <f>+Cabildo!U40+'La Calera'!U40+Concón!U40+Hijuelas!U40+'La Cruz'!U40+'La Ligua'!U40+Limache!U40+Nogales!U40+Olmue!U40+Papudo!U40+Petorca!U40+Puchuncavi!U40+Quillota!U40+Quilpue!U40+Quintero!U40+'Villa Alemana'!U40+'Viña del Mar'!U40+Zapallar!U40</f>
        <v>0</v>
      </c>
      <c r="V42" s="206">
        <f>+Cabildo!V40+'La Calera'!V40+Concón!V40+Hijuelas!V40+'La Cruz'!V40+'La Ligua'!V40+Limache!V40+Nogales!V40+Olmue!V40+Papudo!V40+Petorca!V40+Puchuncavi!V40+Quillota!V40+Quilpue!V40+Quintero!V40+'Villa Alemana'!V40+'Viña del Mar'!V40+Zapallar!V40</f>
        <v>0</v>
      </c>
      <c r="W42" s="206">
        <f>+Cabildo!W40+'La Calera'!W40+Concón!W40+Hijuelas!W40+'La Cruz'!W40+'La Ligua'!W40+Limache!W40+Nogales!W40+Olmue!W40+Papudo!W40+Petorca!W40+Puchuncavi!W40+Quillota!W40+Quilpue!W40+Quintero!W40+'Villa Alemana'!W40+'Viña del Mar'!W40+Zapallar!W40</f>
        <v>0</v>
      </c>
      <c r="X42" s="206">
        <f>+Cabildo!X40+'La Calera'!X40+Concón!X40+Hijuelas!X40+'La Cruz'!X40+'La Ligua'!X40+Limache!X40+Nogales!X40+Olmue!X40+Papudo!X40+Petorca!X40+Puchuncavi!X40+Quillota!X40+Quilpue!X40+Quintero!X40+'Villa Alemana'!X40+'Viña del Mar'!X40+Zapallar!X40</f>
        <v>21976640.399999999</v>
      </c>
      <c r="Y42" s="206">
        <f>+Cabildo!Y40+'La Calera'!Y40+Concón!Y40+Hijuelas!Y40+'La Cruz'!Y40+'La Ligua'!Y40+Limache!Y40+Nogales!Y40+Olmue!Y40+Papudo!Y40+Petorca!Y40+Puchuncavi!Y40+Quillota!Y40+Quilpue!Y40+Quintero!Y40+'Villa Alemana'!Y40+'Viña del Mar'!Y40+Zapallar!Y40</f>
        <v>0</v>
      </c>
      <c r="Z42" s="206">
        <f>+Cabildo!Z40+'La Calera'!Z40+Concón!Z40+Hijuelas!Z40+'La Cruz'!Z40+'La Ligua'!Z40+Limache!Z40+Nogales!Z40+Olmue!Z40+Papudo!Z40+Petorca!Z40+Puchuncavi!Z40+Quillota!Z40+Quilpue!Z40+Quintero!Z40+'Villa Alemana'!Z40+'Viña del Mar'!Z40+Zapallar!Z40</f>
        <v>0</v>
      </c>
      <c r="AA42" s="206">
        <f>+Cabildo!AA40+'La Calera'!AA40+Concón!AA40+Hijuelas!AA40+'La Cruz'!AA40+'La Ligua'!AA40+Limache!AA40+Nogales!AA40+Olmue!AA40+Papudo!AA40+Petorca!AA40+Puchuncavi!AA40+Quillota!AA40+Quilpue!AA40+Quintero!AA40+'Villa Alemana'!AA40+'Viña del Mar'!AA40+Zapallar!AA40</f>
        <v>0</v>
      </c>
      <c r="AB42" s="206">
        <f>+Cabildo!AB40+'La Calera'!AB40+Concón!AB40+Hijuelas!AB40+'La Cruz'!AB40+'La Ligua'!AB40+Limache!AB40+Nogales!AB40+Olmue!AB40+Papudo!AB40+Petorca!AB40+Puchuncavi!AB40+Quillota!AB40+Quilpue!AB40+Quintero!AB40+'Villa Alemana'!AB40+'Viña del Mar'!AB40+Zapallar!AB40</f>
        <v>0</v>
      </c>
      <c r="AC42" s="206">
        <f>+Cabildo!AC40+'La Calera'!AC40+Concón!AC40+Hijuelas!AC40+'La Cruz'!AC40+'La Ligua'!AC40+Limache!AC40+Nogales!AC40+Olmue!AC40+Papudo!AC40+Petorca!AC40+Puchuncavi!AC40+Quillota!AC40+Quilpue!AC40+Quintero!AC40+'Villa Alemana'!AC40+'Viña del Mar'!AC40+Zapallar!AC40</f>
        <v>0</v>
      </c>
      <c r="AD42" s="206">
        <f>+Cabildo!AD40+'La Calera'!AD40+Concón!AD40+Hijuelas!AD40+'La Cruz'!AD40+'La Ligua'!AD40+Limache!AD40+Nogales!AD40+Olmue!AD40+Papudo!AD40+Petorca!AD40+Puchuncavi!AD40+Quillota!AD40+Quilpue!AD40+Quintero!AD40+'Villa Alemana'!AD40+'Viña del Mar'!AD40+Zapallar!AD40</f>
        <v>9725227</v>
      </c>
      <c r="AE42" s="206">
        <f>+Cabildo!AE40+'La Calera'!AE40+Concón!AE40+Hijuelas!AE40+'La Cruz'!AE40+'La Ligua'!AE40+Limache!AE40+Nogales!AE40+Olmue!AE40+Papudo!AE40+Petorca!AE40+Puchuncavi!AE40+Quillota!AE40+Quilpue!AE40+Quintero!AE40+'Villa Alemana'!AE40+'Viña del Mar'!AE40+Zapallar!AE40</f>
        <v>0</v>
      </c>
      <c r="AF42" s="221">
        <f>+Cabildo!AF40+'La Calera'!AF40+Concón!AF40+Hijuelas!AF40+'La Cruz'!AF40+'La Ligua'!AF40+Limache!AF40+Nogales!AF40+Olmue!AF40+Papudo!AF40+Petorca!AF40+Puchuncavi!AF40+Quillota!AF40+Quilpue!AF40+Quintero!AF40+'Villa Alemana'!AF40+'Viña del Mar'!AF40+Zapallar!AF40</f>
        <v>0</v>
      </c>
      <c r="AG42" s="664">
        <f t="shared" si="9"/>
        <v>31701867.399999999</v>
      </c>
      <c r="AH42" s="431">
        <f t="shared" si="10"/>
        <v>93332.60000000149</v>
      </c>
      <c r="AK42" s="235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12"/>
        <v>0</v>
      </c>
      <c r="AX42" s="431">
        <f t="shared" si="11"/>
        <v>31701867.399999999</v>
      </c>
    </row>
    <row r="43" spans="1:50" ht="15">
      <c r="A43" s="18">
        <v>8</v>
      </c>
      <c r="B43" s="7" t="s">
        <v>76</v>
      </c>
      <c r="C43" s="147"/>
      <c r="D43" s="21">
        <f>+Cabildo!D41+'La Calera'!D41+Concón!D41+Hijuelas!D41+'La Cruz'!D41+'La Ligua'!D41+Limache!D41+Nogales!D41+Olmue!D41+Papudo!D41+Petorca!D41+Puchuncavi!D41+Quillota!D41+Quilpue!D41+Quintero!D41+'Villa Alemana'!D41+'Viña del Mar'!D41+Zapallar!D41</f>
        <v>526095103</v>
      </c>
      <c r="E43" s="142"/>
      <c r="F43" s="143"/>
      <c r="G43" s="160"/>
      <c r="H43" s="324">
        <f t="shared" si="8"/>
        <v>526095103</v>
      </c>
      <c r="I43" s="252">
        <f>+Cabildo!I41+'La Calera'!I41+Concón!I41+Hijuelas!I41+'La Cruz'!I41+'La Ligua'!I41+Limache!I41+Nogales!I41+Olmue!I41+Papudo!I41+Petorca!I41+Puchuncavi!I41+Quillota!I41+Quilpue!I41+Quintero!I41+'Villa Alemana'!I41+'Viña del Mar'!I41+Zapallar!I41</f>
        <v>0</v>
      </c>
      <c r="J43" s="206">
        <f>+Cabildo!J41+'La Calera'!J41+Concón!J41+Hijuelas!J41+'La Cruz'!J41+'La Ligua'!J41+Limache!J41+Nogales!J41+Olmue!J41+Papudo!J41+Petorca!J41+Puchuncavi!J41+Quillota!J41+Quilpue!J41+Quintero!J41+'Villa Alemana'!J41+'Viña del Mar'!J41+Zapallar!J41</f>
        <v>0</v>
      </c>
      <c r="K43" s="206">
        <f>+Cabildo!K41+'La Calera'!K41+Concón!K41+Hijuelas!K41+'La Cruz'!K41+'La Ligua'!K41+Limache!K41+Nogales!K41+Olmue!K41+Papudo!K41+Petorca!K41+Puchuncavi!K41+Quillota!K41+Quilpue!K41+Quintero!K41+'Villa Alemana'!K41+'Viña del Mar'!K41+Zapallar!K41</f>
        <v>346922795</v>
      </c>
      <c r="L43" s="206">
        <f>+Cabildo!L41+'La Calera'!L41+Concón!L41+Hijuelas!L41+'La Cruz'!L41+'La Ligua'!L41+Limache!L41+Nogales!L41+Olmue!L41+Papudo!L41+Petorca!L41+Puchuncavi!L41+Quillota!L41+Quilpue!L41+Quintero!L41+'Villa Alemana'!L41+'Viña del Mar'!L41+Zapallar!L41</f>
        <v>21343777</v>
      </c>
      <c r="M43" s="206">
        <f>+Cabildo!M41+'La Calera'!M41+Concón!M41+Hijuelas!M41+'La Cruz'!M41+'La Ligua'!M41+Limache!M41+Nogales!M41+Olmue!M41+Papudo!M41+Petorca!M41+Puchuncavi!M41+Quillota!M41+Quilpue!M41+Quintero!M41+'Villa Alemana'!M41+'Viña del Mar'!M41+Zapallar!M41</f>
        <v>0</v>
      </c>
      <c r="N43" s="206">
        <f>+Cabildo!N41+'La Calera'!N41+Concón!N41+Hijuelas!N41+'La Cruz'!N41+'La Ligua'!N41+Limache!N41+Nogales!N41+Olmue!N41+Papudo!N41+Petorca!N41+Puchuncavi!N41+Quillota!N41+Quilpue!N41+Quintero!N41+'Villa Alemana'!N41+'Viña del Mar'!N41+Zapallar!N41</f>
        <v>0</v>
      </c>
      <c r="O43" s="206">
        <f>+Cabildo!O41+'La Calera'!O41+Concón!O41+Hijuelas!O41+'La Cruz'!O41+'La Ligua'!O41+Limache!O41+Nogales!O41+Olmue!O41+Papudo!O41+Petorca!O41+Puchuncavi!O41+Quillota!O41+Quilpue!O41+Quintero!O41+'Villa Alemana'!O41+'Viña del Mar'!O41+Zapallar!O41</f>
        <v>0</v>
      </c>
      <c r="P43" s="206">
        <f>+Cabildo!P41+'La Calera'!P41+Concón!P41+Hijuelas!P41+'La Cruz'!P41+'La Ligua'!P41+Limache!P41+Nogales!P41+Olmue!P41+Papudo!P41+Petorca!P41+Puchuncavi!P41+Quillota!P41+Quilpue!P41+Quintero!P41+'Villa Alemana'!P41+'Viña del Mar'!P41+Zapallar!P41</f>
        <v>0</v>
      </c>
      <c r="Q43" s="206">
        <f>+Cabildo!Q41+'La Calera'!Q41+Concón!Q41+Hijuelas!Q41+'La Cruz'!Q41+'La Ligua'!Q41+Limache!Q41+Nogales!Q41+Olmue!Q41+Papudo!Q41+Petorca!Q41+Puchuncavi!Q41+Quillota!Q41+Quilpue!Q41+Quintero!Q41+'Villa Alemana'!Q41+'Viña del Mar'!Q41+Zapallar!Q41</f>
        <v>0</v>
      </c>
      <c r="R43" s="560">
        <f>+Cabildo!R41+'La Calera'!R41+Concón!R41+Hijuelas!R41+'La Cruz'!R41+'La Ligua'!R41+Limache!R41+Nogales!R41+Olmue!R41+Papudo!R41+Petorca!R41+Puchuncavi!R41+Quillota!R41+Quilpue!R41+Quintero!R41+'Villa Alemana'!R41+'Viña del Mar'!R41+Zapallar!R41</f>
        <v>157828531</v>
      </c>
      <c r="S43" s="206">
        <f>+Cabildo!S41+'La Calera'!S41+Concón!S41+Hijuelas!S41+'La Cruz'!S41+'La Ligua'!S41+Limache!S41+Nogales!S41+Olmue!S41+Papudo!S41+Petorca!S41+Puchuncavi!S41+Quillota!S41+Quilpue!S41+Quintero!S41+'Villa Alemana'!S41+'Viña del Mar'!S41+Zapallar!S41</f>
        <v>0</v>
      </c>
      <c r="T43" s="227">
        <f>+Cabildo!T41+'La Calera'!T41+Concón!T41+Hijuelas!T41+'La Cruz'!T41+'La Ligua'!T41+Limache!T41+Nogales!T41+Olmue!T41+Papudo!T41+Petorca!T41+Puchuncavi!T41+Quillota!T41+Quilpue!T41+Quintero!T41+'Villa Alemana'!T41+'Viña del Mar'!T41+Zapallar!T41</f>
        <v>0</v>
      </c>
      <c r="U43" s="235">
        <f>+Cabildo!U41+'La Calera'!U41+Concón!U41+Hijuelas!U41+'La Cruz'!U41+'La Ligua'!U41+Limache!U41+Nogales!U41+Olmue!U41+Papudo!U41+Petorca!U41+Puchuncavi!U41+Quillota!U41+Quilpue!U41+Quintero!U41+'Villa Alemana'!U41+'Viña del Mar'!U41+Zapallar!U41</f>
        <v>0</v>
      </c>
      <c r="V43" s="206">
        <f>+Cabildo!V41+'La Calera'!V41+Concón!V41+Hijuelas!V41+'La Cruz'!V41+'La Ligua'!V41+Limache!V41+Nogales!V41+Olmue!V41+Papudo!V41+Petorca!V41+Puchuncavi!V41+Quillota!V41+Quilpue!V41+Quintero!V41+'Villa Alemana'!V41+'Viña del Mar'!V41+Zapallar!V41</f>
        <v>0</v>
      </c>
      <c r="W43" s="206">
        <f>+Cabildo!W41+'La Calera'!W41+Concón!W41+Hijuelas!W41+'La Cruz'!W41+'La Ligua'!W41+Limache!W41+Nogales!W41+Olmue!W41+Papudo!W41+Petorca!W41+Puchuncavi!W41+Quillota!W41+Quilpue!W41+Quintero!W41+'Villa Alemana'!W41+'Viña del Mar'!W41+Zapallar!W41</f>
        <v>346922795</v>
      </c>
      <c r="X43" s="206">
        <f>+Cabildo!X41+'La Calera'!X41+Concón!X41+Hijuelas!X41+'La Cruz'!X41+'La Ligua'!X41+Limache!X41+Nogales!X41+Olmue!X41+Papudo!X41+Petorca!X41+Puchuncavi!X41+Quillota!X41+Quilpue!X41+Quintero!X41+'Villa Alemana'!X41+'Viña del Mar'!X41+Zapallar!X41</f>
        <v>21343777</v>
      </c>
      <c r="Y43" s="206">
        <f>+Cabildo!Y41+'La Calera'!Y41+Concón!Y41+Hijuelas!Y41+'La Cruz'!Y41+'La Ligua'!Y41+Limache!Y41+Nogales!Y41+Olmue!Y41+Papudo!Y41+Petorca!Y41+Puchuncavi!Y41+Quillota!Y41+Quilpue!Y41+Quintero!Y41+'Villa Alemana'!Y41+'Viña del Mar'!Y41+Zapallar!Y41</f>
        <v>0</v>
      </c>
      <c r="Z43" s="206">
        <f>+Cabildo!Z41+'La Calera'!Z41+Concón!Z41+Hijuelas!Z41+'La Cruz'!Z41+'La Ligua'!Z41+Limache!Z41+Nogales!Z41+Olmue!Z41+Papudo!Z41+Petorca!Z41+Puchuncavi!Z41+Quillota!Z41+Quilpue!Z41+Quintero!Z41+'Villa Alemana'!Z41+'Viña del Mar'!Z41+Zapallar!Z41</f>
        <v>0</v>
      </c>
      <c r="AA43" s="206">
        <f>+Cabildo!AA41+'La Calera'!AA41+Concón!AA41+Hijuelas!AA41+'La Cruz'!AA41+'La Ligua'!AA41+Limache!AA41+Nogales!AA41+Olmue!AA41+Papudo!AA41+Petorca!AA41+Puchuncavi!AA41+Quillota!AA41+Quilpue!AA41+Quintero!AA41+'Villa Alemana'!AA41+'Viña del Mar'!AA41+Zapallar!AA41</f>
        <v>0</v>
      </c>
      <c r="AB43" s="206">
        <f>+Cabildo!AB41+'La Calera'!AB41+Concón!AB41+Hijuelas!AB41+'La Cruz'!AB41+'La Ligua'!AB41+Limache!AB41+Nogales!AB41+Olmue!AB41+Papudo!AB41+Petorca!AB41+Puchuncavi!AB41+Quillota!AB41+Quilpue!AB41+Quintero!AB41+'Villa Alemana'!AB41+'Viña del Mar'!AB41+Zapallar!AB41</f>
        <v>0</v>
      </c>
      <c r="AC43" s="206">
        <f>+Cabildo!AC41+'La Calera'!AC41+Concón!AC41+Hijuelas!AC41+'La Cruz'!AC41+'La Ligua'!AC41+Limache!AC41+Nogales!AC41+Olmue!AC41+Papudo!AC41+Petorca!AC41+Puchuncavi!AC41+Quillota!AC41+Quilpue!AC41+Quintero!AC41+'Villa Alemana'!AC41+'Viña del Mar'!AC41+Zapallar!AC41</f>
        <v>0</v>
      </c>
      <c r="AD43" s="206">
        <f>+Cabildo!AD41+'La Calera'!AD41+Concón!AD41+Hijuelas!AD41+'La Cruz'!AD41+'La Ligua'!AD41+Limache!AD41+Nogales!AD41+Olmue!AD41+Papudo!AD41+Petorca!AD41+Puchuncavi!AD41+Quillota!AD41+Quilpue!AD41+Quintero!AD41+'Villa Alemana'!AD41+'Viña del Mar'!AD41+Zapallar!AD41</f>
        <v>157828531</v>
      </c>
      <c r="AE43" s="206">
        <f>+Cabildo!AE41+'La Calera'!AE41+Concón!AE41+Hijuelas!AE41+'La Cruz'!AE41+'La Ligua'!AE41+Limache!AE41+Nogales!AE41+Olmue!AE41+Papudo!AE41+Petorca!AE41+Puchuncavi!AE41+Quillota!AE41+Quilpue!AE41+Quintero!AE41+'Villa Alemana'!AE41+'Viña del Mar'!AE41+Zapallar!AE41</f>
        <v>0</v>
      </c>
      <c r="AF43" s="221">
        <f>+Cabildo!AF41+'La Calera'!AF41+Concón!AF41+Hijuelas!AF41+'La Cruz'!AF41+'La Ligua'!AF41+Limache!AF41+Nogales!AF41+Olmue!AF41+Papudo!AF41+Petorca!AF41+Puchuncavi!AF41+Quillota!AF41+Quilpue!AF41+Quintero!AF41+'Villa Alemana'!AF41+'Viña del Mar'!AF41+Zapallar!AF41</f>
        <v>0</v>
      </c>
      <c r="AG43" s="664">
        <f t="shared" si="9"/>
        <v>526095103</v>
      </c>
      <c r="AH43" s="431">
        <f t="shared" si="10"/>
        <v>0</v>
      </c>
      <c r="AK43" s="235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12"/>
        <v>0</v>
      </c>
      <c r="AX43" s="431">
        <f t="shared" si="11"/>
        <v>526095103</v>
      </c>
    </row>
    <row r="44" spans="1:50" ht="29.25">
      <c r="A44" s="18">
        <v>9</v>
      </c>
      <c r="B44" s="66" t="s">
        <v>77</v>
      </c>
      <c r="C44" s="147"/>
      <c r="D44" s="21">
        <f>+Cabildo!D42+'La Calera'!D42+Concón!D42+Hijuelas!D42+'La Cruz'!D42+'La Ligua'!D42+Limache!D42+Nogales!D42+Olmue!D42+Papudo!D42+Petorca!D42+Puchuncavi!D42+Quillota!D42+Quilpue!D42+Quintero!D42+'Villa Alemana'!D42+'Viña del Mar'!D42+Zapallar!D42</f>
        <v>0</v>
      </c>
      <c r="E44" s="142"/>
      <c r="F44" s="143"/>
      <c r="G44" s="160"/>
      <c r="H44" s="324">
        <f t="shared" si="8"/>
        <v>0</v>
      </c>
      <c r="I44" s="252">
        <f>+Cabildo!I42+'La Calera'!I42+Concón!I42+Hijuelas!I42+'La Cruz'!I42+'La Ligua'!I42+Limache!I42+Nogales!I42+Olmue!I42+Papudo!I42+Petorca!I42+Puchuncavi!I42+Quillota!I42+Quilpue!I42+Quintero!I42+'Villa Alemana'!I42+'Viña del Mar'!I42+Zapallar!I42</f>
        <v>0</v>
      </c>
      <c r="J44" s="206">
        <f>+Cabildo!J42+'La Calera'!J42+Concón!J42+Hijuelas!J42+'La Cruz'!J42+'La Ligua'!J42+Limache!J42+Nogales!J42+Olmue!J42+Papudo!J42+Petorca!J42+Puchuncavi!J42+Quillota!J42+Quilpue!J42+Quintero!J42+'Villa Alemana'!J42+'Viña del Mar'!J42+Zapallar!J42</f>
        <v>0</v>
      </c>
      <c r="K44" s="206">
        <f>+Cabildo!K42+'La Calera'!K42+Concón!K42+Hijuelas!K42+'La Cruz'!K42+'La Ligua'!K42+Limache!K42+Nogales!K42+Olmue!K42+Papudo!K42+Petorca!K42+Puchuncavi!K42+Quillota!K42+Quilpue!K42+Quintero!K42+'Villa Alemana'!K42+'Viña del Mar'!K42+Zapallar!K42</f>
        <v>0</v>
      </c>
      <c r="L44" s="206">
        <f>+Cabildo!L42+'La Calera'!L42+Concón!L42+Hijuelas!L42+'La Cruz'!L42+'La Ligua'!L42+Limache!L42+Nogales!L42+Olmue!L42+Papudo!L42+Petorca!L42+Puchuncavi!L42+Quillota!L42+Quilpue!L42+Quintero!L42+'Villa Alemana'!L42+'Viña del Mar'!L42+Zapallar!L42</f>
        <v>0</v>
      </c>
      <c r="M44" s="206">
        <f>+Cabildo!M42+'La Calera'!M42+Concón!M42+Hijuelas!M42+'La Cruz'!M42+'La Ligua'!M42+Limache!M42+Nogales!M42+Olmue!M42+Papudo!M42+Petorca!M42+Puchuncavi!M42+Quillota!M42+Quilpue!M42+Quintero!M42+'Villa Alemana'!M42+'Viña del Mar'!M42+Zapallar!M42</f>
        <v>0</v>
      </c>
      <c r="N44" s="206">
        <f>+Cabildo!N42+'La Calera'!N42+Concón!N42+Hijuelas!N42+'La Cruz'!N42+'La Ligua'!N42+Limache!N42+Nogales!N42+Olmue!N42+Papudo!N42+Petorca!N42+Puchuncavi!N42+Quillota!N42+Quilpue!N42+Quintero!N42+'Villa Alemana'!N42+'Viña del Mar'!N42+Zapallar!N42</f>
        <v>0</v>
      </c>
      <c r="O44" s="206">
        <f>+Cabildo!O42+'La Calera'!O42+Concón!O42+Hijuelas!O42+'La Cruz'!O42+'La Ligua'!O42+Limache!O42+Nogales!O42+Olmue!O42+Papudo!O42+Petorca!O42+Puchuncavi!O42+Quillota!O42+Quilpue!O42+Quintero!O42+'Villa Alemana'!O42+'Viña del Mar'!O42+Zapallar!O42</f>
        <v>0</v>
      </c>
      <c r="P44" s="206">
        <f>+Cabildo!P42+'La Calera'!P42+Concón!P42+Hijuelas!P42+'La Cruz'!P42+'La Ligua'!P42+Limache!P42+Nogales!P42+Olmue!P42+Papudo!P42+Petorca!P42+Puchuncavi!P42+Quillota!P42+Quilpue!P42+Quintero!P42+'Villa Alemana'!P42+'Viña del Mar'!P42+Zapallar!P42</f>
        <v>0</v>
      </c>
      <c r="Q44" s="206">
        <f>+Cabildo!Q42+'La Calera'!Q42+Concón!Q42+Hijuelas!Q42+'La Cruz'!Q42+'La Ligua'!Q42+Limache!Q42+Nogales!Q42+Olmue!Q42+Papudo!Q42+Petorca!Q42+Puchuncavi!Q42+Quillota!Q42+Quilpue!Q42+Quintero!Q42+'Villa Alemana'!Q42+'Viña del Mar'!Q42+Zapallar!Q42</f>
        <v>0</v>
      </c>
      <c r="R44" s="206">
        <f>+Cabildo!R42+'La Calera'!R42+Concón!R42+Hijuelas!R42+'La Cruz'!R42+'La Ligua'!R42+Limache!R42+Nogales!R42+Olmue!R42+Papudo!R42+Petorca!R42+Puchuncavi!R42+Quillota!R42+Quilpue!R42+Quintero!R42+'Villa Alemana'!R42+'Viña del Mar'!R42+Zapallar!R42</f>
        <v>0</v>
      </c>
      <c r="S44" s="206">
        <f>+Cabildo!S42+'La Calera'!S42+Concón!S42+Hijuelas!S42+'La Cruz'!S42+'La Ligua'!S42+Limache!S42+Nogales!S42+Olmue!S42+Papudo!S42+Petorca!S42+Puchuncavi!S42+Quillota!S42+Quilpue!S42+Quintero!S42+'Villa Alemana'!S42+'Viña del Mar'!S42+Zapallar!S42</f>
        <v>0</v>
      </c>
      <c r="T44" s="227">
        <f>+Cabildo!T42+'La Calera'!T42+Concón!T42+Hijuelas!T42+'La Cruz'!T42+'La Ligua'!T42+Limache!T42+Nogales!T42+Olmue!T42+Papudo!T42+Petorca!T42+Puchuncavi!T42+Quillota!T42+Quilpue!T42+Quintero!T42+'Villa Alemana'!T42+'Viña del Mar'!T42+Zapallar!T42</f>
        <v>0</v>
      </c>
      <c r="U44" s="235">
        <f>+Cabildo!U42+'La Calera'!U42+Concón!U42+Hijuelas!U42+'La Cruz'!U42+'La Ligua'!U42+Limache!U42+Nogales!U42+Olmue!U42+Papudo!U42+Petorca!U42+Puchuncavi!U42+Quillota!U42+Quilpue!U42+Quintero!U42+'Villa Alemana'!U42+'Viña del Mar'!U42+Zapallar!U42</f>
        <v>0</v>
      </c>
      <c r="V44" s="206">
        <f>+Cabildo!V42+'La Calera'!V42+Concón!V42+Hijuelas!V42+'La Cruz'!V42+'La Ligua'!V42+Limache!V42+Nogales!V42+Olmue!V42+Papudo!V42+Petorca!V42+Puchuncavi!V42+Quillota!V42+Quilpue!V42+Quintero!V42+'Villa Alemana'!V42+'Viña del Mar'!V42+Zapallar!V42</f>
        <v>0</v>
      </c>
      <c r="W44" s="206">
        <f>+Cabildo!W42+'La Calera'!W42+Concón!W42+Hijuelas!W42+'La Cruz'!W42+'La Ligua'!W42+Limache!W42+Nogales!W42+Olmue!W42+Papudo!W42+Petorca!W42+Puchuncavi!W42+Quillota!W42+Quilpue!W42+Quintero!W42+'Villa Alemana'!W42+'Viña del Mar'!W42+Zapallar!W42</f>
        <v>0</v>
      </c>
      <c r="X44" s="206">
        <f>+Cabildo!X42+'La Calera'!X42+Concón!X42+Hijuelas!X42+'La Cruz'!X42+'La Ligua'!X42+Limache!X42+Nogales!X42+Olmue!X42+Papudo!X42+Petorca!X42+Puchuncavi!X42+Quillota!X42+Quilpue!X42+Quintero!X42+'Villa Alemana'!X42+'Viña del Mar'!X42+Zapallar!X42</f>
        <v>0</v>
      </c>
      <c r="Y44" s="206">
        <f>+Cabildo!Y42+'La Calera'!Y42+Concón!Y42+Hijuelas!Y42+'La Cruz'!Y42+'La Ligua'!Y42+Limache!Y42+Nogales!Y42+Olmue!Y42+Papudo!Y42+Petorca!Y42+Puchuncavi!Y42+Quillota!Y42+Quilpue!Y42+Quintero!Y42+'Villa Alemana'!Y42+'Viña del Mar'!Y42+Zapallar!Y42</f>
        <v>0</v>
      </c>
      <c r="Z44" s="206">
        <f>+Cabildo!Z42+'La Calera'!Z42+Concón!Z42+Hijuelas!Z42+'La Cruz'!Z42+'La Ligua'!Z42+Limache!Z42+Nogales!Z42+Olmue!Z42+Papudo!Z42+Petorca!Z42+Puchuncavi!Z42+Quillota!Z42+Quilpue!Z42+Quintero!Z42+'Villa Alemana'!Z42+'Viña del Mar'!Z42+Zapallar!Z42</f>
        <v>0</v>
      </c>
      <c r="AA44" s="206">
        <f>+Cabildo!AA42+'La Calera'!AA42+Concón!AA42+Hijuelas!AA42+'La Cruz'!AA42+'La Ligua'!AA42+Limache!AA42+Nogales!AA42+Olmue!AA42+Papudo!AA42+Petorca!AA42+Puchuncavi!AA42+Quillota!AA42+Quilpue!AA42+Quintero!AA42+'Villa Alemana'!AA42+'Viña del Mar'!AA42+Zapallar!AA42</f>
        <v>0</v>
      </c>
      <c r="AB44" s="206">
        <f>+Cabildo!AB42+'La Calera'!AB42+Concón!AB42+Hijuelas!AB42+'La Cruz'!AB42+'La Ligua'!AB42+Limache!AB42+Nogales!AB42+Olmue!AB42+Papudo!AB42+Petorca!AB42+Puchuncavi!AB42+Quillota!AB42+Quilpue!AB42+Quintero!AB42+'Villa Alemana'!AB42+'Viña del Mar'!AB42+Zapallar!AB42</f>
        <v>0</v>
      </c>
      <c r="AC44" s="206">
        <f>+Cabildo!AC42+'La Calera'!AC42+Concón!AC42+Hijuelas!AC42+'La Cruz'!AC42+'La Ligua'!AC42+Limache!AC42+Nogales!AC42+Olmue!AC42+Papudo!AC42+Petorca!AC42+Puchuncavi!AC42+Quillota!AC42+Quilpue!AC42+Quintero!AC42+'Villa Alemana'!AC42+'Viña del Mar'!AC42+Zapallar!AC42</f>
        <v>0</v>
      </c>
      <c r="AD44" s="206">
        <f>+Cabildo!AD42+'La Calera'!AD42+Concón!AD42+Hijuelas!AD42+'La Cruz'!AD42+'La Ligua'!AD42+Limache!AD42+Nogales!AD42+Olmue!AD42+Papudo!AD42+Petorca!AD42+Puchuncavi!AD42+Quillota!AD42+Quilpue!AD42+Quintero!AD42+'Villa Alemana'!AD42+'Viña del Mar'!AD42+Zapallar!AD42</f>
        <v>0</v>
      </c>
      <c r="AE44" s="206">
        <f>+Cabildo!AE42+'La Calera'!AE42+Concón!AE42+Hijuelas!AE42+'La Cruz'!AE42+'La Ligua'!AE42+Limache!AE42+Nogales!AE42+Olmue!AE42+Papudo!AE42+Petorca!AE42+Puchuncavi!AE42+Quillota!AE42+Quilpue!AE42+Quintero!AE42+'Villa Alemana'!AE42+'Viña del Mar'!AE42+Zapallar!AE42</f>
        <v>0</v>
      </c>
      <c r="AF44" s="221">
        <f>+Cabildo!AF42+'La Calera'!AF42+Concón!AF42+Hijuelas!AF42+'La Cruz'!AF42+'La Ligua'!AF42+Limache!AF42+Nogales!AF42+Olmue!AF42+Papudo!AF42+Petorca!AF42+Puchuncavi!AF42+Quillota!AF42+Quilpue!AF42+Quintero!AF42+'Villa Alemana'!AF42+'Viña del Mar'!AF42+Zapallar!AF42</f>
        <v>0</v>
      </c>
      <c r="AG44" s="664">
        <f t="shared" si="9"/>
        <v>0</v>
      </c>
      <c r="AH44" s="431">
        <f t="shared" si="10"/>
        <v>0</v>
      </c>
      <c r="AK44" s="235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12"/>
        <v>0</v>
      </c>
      <c r="AX44" s="431">
        <f t="shared" si="11"/>
        <v>0</v>
      </c>
    </row>
    <row r="45" spans="1:50" ht="15">
      <c r="A45" s="18">
        <v>10</v>
      </c>
      <c r="B45" s="7" t="s">
        <v>104</v>
      </c>
      <c r="C45" s="147"/>
      <c r="D45" s="21">
        <f>+Cabildo!D43+'La Calera'!D43+Concón!D43+Hijuelas!D43+'La Cruz'!D43+'La Ligua'!D43+Limache!D43+Nogales!D43+Olmue!D43+Papudo!D43+Petorca!D43+Puchuncavi!D43+Quillota!D43+Quilpue!D43+Quintero!D43+'Villa Alemana'!D43+'Viña del Mar'!D43+Zapallar!D43</f>
        <v>669600821</v>
      </c>
      <c r="E45" s="142"/>
      <c r="F45" s="143"/>
      <c r="G45" s="160"/>
      <c r="H45" s="324">
        <f t="shared" si="8"/>
        <v>669562542.79999995</v>
      </c>
      <c r="I45" s="252">
        <f>+Cabildo!I43+'La Calera'!I43+Concón!I43+Hijuelas!I43+'La Cruz'!I43+'La Ligua'!I43+Limache!I43+Nogales!I43+Olmue!I43+Papudo!I43+Petorca!I43+Puchuncavi!I43+Quillota!I43+Quilpue!I43+Quintero!I43+'Villa Alemana'!I43+'Viña del Mar'!I43+Zapallar!I43</f>
        <v>0</v>
      </c>
      <c r="J45" s="206">
        <f>+Cabildo!J43+'La Calera'!J43+Concón!J43+Hijuelas!J43+'La Cruz'!J43+'La Ligua'!J43+Limache!J43+Nogales!J43+Olmue!J43+Papudo!J43+Petorca!J43+Puchuncavi!J43+Quillota!J43+Quilpue!J43+Quintero!J43+'Villa Alemana'!J43+'Viña del Mar'!J43+Zapallar!J43</f>
        <v>0</v>
      </c>
      <c r="K45" s="206">
        <f>+Cabildo!K43+'La Calera'!K43+Concón!K43+Hijuelas!K43+'La Cruz'!K43+'La Ligua'!K43+Limache!K43+Nogales!K43+Olmue!K43+Papudo!K43+Petorca!K43+Puchuncavi!K43+Quillota!K43+Quilpue!K43+Quintero!K43+'Villa Alemana'!K43+'Viña del Mar'!K43+Zapallar!K43</f>
        <v>243969710.80000001</v>
      </c>
      <c r="L45" s="206">
        <f>+Cabildo!L43+'La Calera'!L43+Concón!L43+Hijuelas!L43+'La Cruz'!L43+'La Ligua'!L43+Limache!L43+Nogales!L43+Olmue!L43+Papudo!L43+Petorca!L43+Puchuncavi!L43+Quillota!L43+Quilpue!L43+Quintero!L43+'Villa Alemana'!L43+'Viña del Mar'!L43+Zapallar!L43</f>
        <v>104864197</v>
      </c>
      <c r="M45" s="206">
        <f>+Cabildo!M43+'La Calera'!M43+Concón!M43+Hijuelas!M43+'La Cruz'!M43+'La Ligua'!M43+Limache!M43+Nogales!M43+Olmue!M43+Papudo!M43+Petorca!M43+Puchuncavi!M43+Quillota!M43+Quilpue!M43+Quintero!M43+'Villa Alemana'!M43+'Viña del Mar'!M43+Zapallar!M43</f>
        <v>119159866</v>
      </c>
      <c r="N45" s="206">
        <f>+Cabildo!N43+'La Calera'!N43+Concón!N43+Hijuelas!N43+'La Cruz'!N43+'La Ligua'!N43+Limache!N43+Nogales!N43+Olmue!N43+Papudo!N43+Petorca!N43+Puchuncavi!N43+Quillota!N43+Quilpue!N43+Quintero!N43+'Villa Alemana'!N43+'Viña del Mar'!N43+Zapallar!N43</f>
        <v>0</v>
      </c>
      <c r="O45" s="206">
        <f>+Cabildo!O43+'La Calera'!O43+Concón!O43+Hijuelas!O43+'La Cruz'!O43+'La Ligua'!O43+Limache!O43+Nogales!O43+Olmue!O43+Papudo!O43+Petorca!O43+Puchuncavi!O43+Quillota!O43+Quilpue!O43+Quintero!O43+'Villa Alemana'!O43+'Viña del Mar'!O43+Zapallar!O43</f>
        <v>700007</v>
      </c>
      <c r="P45" s="206">
        <f>+Cabildo!P43+'La Calera'!P43+Concón!P43+Hijuelas!P43+'La Cruz'!P43+'La Ligua'!P43+Limache!P43+Nogales!P43+Olmue!P43+Papudo!P43+Petorca!P43+Puchuncavi!P43+Quillota!P43+Quilpue!P43+Quintero!P43+'Villa Alemana'!P43+'Viña del Mar'!P43+Zapallar!P43</f>
        <v>0</v>
      </c>
      <c r="Q45" s="206">
        <f>+Cabildo!Q43+'La Calera'!Q43+Concón!Q43+Hijuelas!Q43+'La Cruz'!Q43+'La Ligua'!Q43+Limache!Q43+Nogales!Q43+Olmue!Q43+Papudo!Q43+Petorca!Q43+Puchuncavi!Q43+Quillota!Q43+Quilpue!Q43+Quintero!Q43+'Villa Alemana'!Q43+'Viña del Mar'!Q43+Zapallar!Q43</f>
        <v>0</v>
      </c>
      <c r="R45" s="206">
        <f>+Cabildo!R43+'La Calera'!R43+Concón!R43+Hijuelas!R43+'La Cruz'!R43+'La Ligua'!R43+Limache!R43+Nogales!R43+Olmue!R43+Papudo!R43+Petorca!R43+Puchuncavi!R43+Quillota!R43+Quilpue!R43+Quintero!R43+'Villa Alemana'!R43+'Viña del Mar'!R43+Zapallar!R43</f>
        <v>200868762</v>
      </c>
      <c r="S45" s="206">
        <f>+Cabildo!S43+'La Calera'!S43+Concón!S43+Hijuelas!S43+'La Cruz'!S43+'La Ligua'!S43+Limache!S43+Nogales!S43+Olmue!S43+Papudo!S43+Petorca!S43+Puchuncavi!S43+Quillota!S43+Quilpue!S43+Quintero!S43+'Villa Alemana'!S43+'Viña del Mar'!S43+Zapallar!S43</f>
        <v>0</v>
      </c>
      <c r="T45" s="227">
        <f>+Cabildo!T43+'La Calera'!T43+Concón!T43+Hijuelas!T43+'La Cruz'!T43+'La Ligua'!T43+Limache!T43+Nogales!T43+Olmue!T43+Papudo!T43+Petorca!T43+Puchuncavi!T43+Quillota!T43+Quilpue!T43+Quintero!T43+'Villa Alemana'!T43+'Viña del Mar'!T43+Zapallar!T43</f>
        <v>0</v>
      </c>
      <c r="U45" s="235">
        <f>+Cabildo!U43+'La Calera'!U43+Concón!U43+Hijuelas!U43+'La Cruz'!U43+'La Ligua'!U43+Limache!U43+Nogales!U43+Olmue!U43+Papudo!U43+Petorca!U43+Puchuncavi!U43+Quillota!U43+Quilpue!U43+Quintero!U43+'Villa Alemana'!U43+'Viña del Mar'!U43+Zapallar!U43</f>
        <v>0</v>
      </c>
      <c r="V45" s="206">
        <f>+Cabildo!V43+'La Calera'!V43+Concón!V43+Hijuelas!V43+'La Cruz'!V43+'La Ligua'!V43+Limache!V43+Nogales!V43+Olmue!V43+Papudo!V43+Petorca!V43+Puchuncavi!V43+Quillota!V43+Quilpue!V43+Quintero!V43+'Villa Alemana'!V43+'Viña del Mar'!V43+Zapallar!V43</f>
        <v>0</v>
      </c>
      <c r="W45" s="206">
        <f>+Cabildo!W43+'La Calera'!W43+Concón!W43+Hijuelas!W43+'La Cruz'!W43+'La Ligua'!W43+Limache!W43+Nogales!W43+Olmue!W43+Papudo!W43+Petorca!W43+Puchuncavi!W43+Quillota!W43+Quilpue!W43+Quintero!W43+'Villa Alemana'!W43+'Viña del Mar'!W43+Zapallar!W43</f>
        <v>243969711</v>
      </c>
      <c r="X45" s="206">
        <f>+Cabildo!X43+'La Calera'!X43+Concón!X43+Hijuelas!X43+'La Cruz'!X43+'La Ligua'!X43+Limache!X43+Nogales!X43+Olmue!X43+Papudo!X43+Petorca!X43+Puchuncavi!X43+Quillota!X43+Quilpue!X43+Quintero!X43+'Villa Alemana'!X43+'Viña del Mar'!X43+Zapallar!X43</f>
        <v>104864197</v>
      </c>
      <c r="Y45" s="206">
        <f>+Cabildo!Y43+'La Calera'!Y43+Concón!Y43+Hijuelas!Y43+'La Cruz'!Y43+'La Ligua'!Y43+Limache!Y43+Nogales!Y43+Olmue!Y43+Papudo!Y43+Petorca!Y43+Puchuncavi!Y43+Quillota!Y43+Quilpue!Y43+Quintero!Y43+'Villa Alemana'!Y43+'Viña del Mar'!Y43+Zapallar!Y43</f>
        <v>119159866</v>
      </c>
      <c r="Z45" s="206">
        <f>+Cabildo!Z43+'La Calera'!Z43+Concón!Z43+Hijuelas!Z43+'La Cruz'!Z43+'La Ligua'!Z43+Limache!Z43+Nogales!Z43+Olmue!Z43+Papudo!Z43+Petorca!Z43+Puchuncavi!Z43+Quillota!Z43+Quilpue!Z43+Quintero!Z43+'Villa Alemana'!Z43+'Viña del Mar'!Z43+Zapallar!Z43</f>
        <v>0</v>
      </c>
      <c r="AA45" s="206">
        <f>+Cabildo!AA43+'La Calera'!AA43+Concón!AA43+Hijuelas!AA43+'La Cruz'!AA43+'La Ligua'!AA43+Limache!AA43+Nogales!AA43+Olmue!AA43+Papudo!AA43+Petorca!AA43+Puchuncavi!AA43+Quillota!AA43+Quilpue!AA43+Quintero!AA43+'Villa Alemana'!AA43+'Viña del Mar'!AA43+Zapallar!AA43</f>
        <v>700007</v>
      </c>
      <c r="AB45" s="206">
        <f>+Cabildo!AB43+'La Calera'!AB43+Concón!AB43+Hijuelas!AB43+'La Cruz'!AB43+'La Ligua'!AB43+Limache!AB43+Nogales!AB43+Olmue!AB43+Papudo!AB43+Petorca!AB43+Puchuncavi!AB43+Quillota!AB43+Quilpue!AB43+Quintero!AB43+'Villa Alemana'!AB43+'Viña del Mar'!AB43+Zapallar!AB43</f>
        <v>0</v>
      </c>
      <c r="AC45" s="206">
        <f>+Cabildo!AC43+'La Calera'!AC43+Concón!AC43+Hijuelas!AC43+'La Cruz'!AC43+'La Ligua'!AC43+Limache!AC43+Nogales!AC43+Olmue!AC43+Papudo!AC43+Petorca!AC43+Puchuncavi!AC43+Quillota!AC43+Quilpue!AC43+Quintero!AC43+'Villa Alemana'!AC43+'Viña del Mar'!AC43+Zapallar!AC43</f>
        <v>0</v>
      </c>
      <c r="AD45" s="206">
        <f>+Cabildo!AD43+'La Calera'!AD43+Concón!AD43+Hijuelas!AD43+'La Cruz'!AD43+'La Ligua'!AD43+Limache!AD43+Nogales!AD43+Olmue!AD43+Papudo!AD43+Petorca!AD43+Puchuncavi!AD43+Quillota!AD43+Quilpue!AD43+Quintero!AD43+'Villa Alemana'!AD43+'Viña del Mar'!AD43+Zapallar!AD43</f>
        <v>200868762</v>
      </c>
      <c r="AE45" s="206">
        <f>+Cabildo!AE43+'La Calera'!AE43+Concón!AE43+Hijuelas!AE43+'La Cruz'!AE43+'La Ligua'!AE43+Limache!AE43+Nogales!AE43+Olmue!AE43+Papudo!AE43+Petorca!AE43+Puchuncavi!AE43+Quillota!AE43+Quilpue!AE43+Quintero!AE43+'Villa Alemana'!AE43+'Viña del Mar'!AE43+Zapallar!AE43</f>
        <v>0</v>
      </c>
      <c r="AF45" s="221">
        <f>+Cabildo!AF43+'La Calera'!AF43+Concón!AF43+Hijuelas!AF43+'La Cruz'!AF43+'La Ligua'!AF43+Limache!AF43+Nogales!AF43+Olmue!AF43+Papudo!AF43+Petorca!AF43+Puchuncavi!AF43+Quillota!AF43+Quilpue!AF43+Quintero!AF43+'Villa Alemana'!AF43+'Viña del Mar'!AF43+Zapallar!AF43</f>
        <v>0</v>
      </c>
      <c r="AG45" s="664">
        <f t="shared" si="9"/>
        <v>669562543</v>
      </c>
      <c r="AH45" s="431">
        <f t="shared" si="10"/>
        <v>-0.20000004768371582</v>
      </c>
      <c r="AK45" s="235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27"/>
      <c r="AW45" s="228">
        <f t="shared" si="12"/>
        <v>0</v>
      </c>
      <c r="AX45" s="431">
        <f t="shared" si="11"/>
        <v>669562543</v>
      </c>
    </row>
    <row r="46" spans="1:50" ht="15">
      <c r="A46" s="18">
        <v>11</v>
      </c>
      <c r="B46" s="7" t="s">
        <v>78</v>
      </c>
      <c r="C46" s="147"/>
      <c r="D46" s="21">
        <f>+Cabildo!D44+'La Calera'!D44+Concón!D44+Hijuelas!D44+'La Cruz'!D44+'La Ligua'!D44+Limache!D44+Nogales!D44+Olmue!D44+Papudo!D44+Petorca!D44+Puchuncavi!D44+Quillota!D44+Quilpue!D44+Quintero!D44+'Villa Alemana'!D44+'Viña del Mar'!D44+Zapallar!D44</f>
        <v>290874596</v>
      </c>
      <c r="E46" s="142">
        <f>+D46*0.7</f>
        <v>203612217.19999999</v>
      </c>
      <c r="F46" s="143">
        <f>+D46*0.3</f>
        <v>87262378.799999997</v>
      </c>
      <c r="G46" s="160"/>
      <c r="H46" s="324">
        <f t="shared" si="8"/>
        <v>290874596</v>
      </c>
      <c r="I46" s="252">
        <f>+Cabildo!I44+'La Calera'!I44+Concón!I44+Hijuelas!I44+'La Cruz'!I44+'La Ligua'!I44+Limache!I44+Nogales!I44+Olmue!I44+Papudo!I44+Petorca!I44+Puchuncavi!I44+Quillota!I44+Quilpue!I44+Quintero!I44+'Villa Alemana'!I44+'Viña del Mar'!I44+Zapallar!I44</f>
        <v>0</v>
      </c>
      <c r="J46" s="206">
        <f>+Cabildo!J44+'La Calera'!J44+Concón!J44+Hijuelas!J44+'La Cruz'!J44+'La Ligua'!J44+Limache!J44+Nogales!J44+Olmue!J44+Papudo!J44+Petorca!J44+Puchuncavi!J44+Quillota!J44+Quilpue!J44+Quintero!J44+'Villa Alemana'!J44+'Viña del Mar'!J44+Zapallar!J44</f>
        <v>0</v>
      </c>
      <c r="K46" s="206">
        <f>+Cabildo!K44+'La Calera'!K44+Concón!K44+Hijuelas!K44+'La Cruz'!K44+'La Ligua'!K44+Limache!K44+Nogales!K44+Olmue!K44+Papudo!K44+Petorca!K44+Puchuncavi!K44+Quillota!K44+Quilpue!K44+Quintero!K44+'Villa Alemana'!K44+'Viña del Mar'!K44+Zapallar!K44</f>
        <v>0</v>
      </c>
      <c r="L46" s="206">
        <f>+Cabildo!L44+'La Calera'!L44+Concón!L44+Hijuelas!L44+'La Cruz'!L44+'La Ligua'!L44+Limache!L44+Nogales!L44+Olmue!L44+Papudo!L44+Petorca!L44+Puchuncavi!L44+Quillota!L44+Quilpue!L44+Quintero!L44+'Villa Alemana'!L44+'Viña del Mar'!L44+Zapallar!L44</f>
        <v>0</v>
      </c>
      <c r="M46" s="206">
        <f>+Cabildo!M44+'La Calera'!M44+Concón!M44+Hijuelas!M44+'La Cruz'!M44+'La Ligua'!M44+Limache!M44+Nogales!M44+Olmue!M44+Papudo!M44+Petorca!M44+Puchuncavi!M44+Quillota!M44+Quilpue!M44+Quintero!M44+'Villa Alemana'!M44+'Viña del Mar'!M44+Zapallar!M44</f>
        <v>203612217.19999999</v>
      </c>
      <c r="N46" s="206">
        <f>+Cabildo!N44+'La Calera'!N44+Concón!N44+Hijuelas!N44+'La Cruz'!N44+'La Ligua'!N44+Limache!N44+Nogales!N44+Olmue!N44+Papudo!N44+Petorca!N44+Puchuncavi!N44+Quillota!N44+Quilpue!N44+Quintero!N44+'Villa Alemana'!N44+'Viña del Mar'!N44+Zapallar!N44</f>
        <v>0</v>
      </c>
      <c r="O46" s="206">
        <f>+Cabildo!O44+'La Calera'!O44+Concón!O44+Hijuelas!O44+'La Cruz'!O44+'La Ligua'!O44+Limache!O44+Nogales!O44+Olmue!O44+Papudo!O44+Petorca!O44+Puchuncavi!O44+Quillota!O44+Quilpue!O44+Quintero!O44+'Villa Alemana'!O44+'Viña del Mar'!O44+Zapallar!O44</f>
        <v>0</v>
      </c>
      <c r="P46" s="206">
        <f>+Cabildo!P44+'La Calera'!P44+Concón!P44+Hijuelas!P44+'La Cruz'!P44+'La Ligua'!P44+Limache!P44+Nogales!P44+Olmue!P44+Papudo!P44+Petorca!P44+Puchuncavi!P44+Quillota!P44+Quilpue!P44+Quintero!P44+'Villa Alemana'!P44+'Viña del Mar'!P44+Zapallar!P44</f>
        <v>0</v>
      </c>
      <c r="Q46" s="206">
        <f>+Cabildo!Q44+'La Calera'!Q44+Concón!Q44+Hijuelas!Q44+'La Cruz'!Q44+'La Ligua'!Q44+Limache!Q44+Nogales!Q44+Olmue!Q44+Papudo!Q44+Petorca!Q44+Puchuncavi!Q44+Quillota!Q44+Quilpue!Q44+Quintero!Q44+'Villa Alemana'!Q44+'Viña del Mar'!Q44+Zapallar!Q44</f>
        <v>0</v>
      </c>
      <c r="R46" s="206">
        <f>+Cabildo!R44+'La Calera'!R44+Concón!R44+Hijuelas!R44+'La Cruz'!R44+'La Ligua'!R44+Limache!R44+Nogales!R44+Olmue!R44+Papudo!R44+Petorca!R44+Puchuncavi!R44+Quillota!R44+Quilpue!R44+Quintero!R44+'Villa Alemana'!R44+'Viña del Mar'!R44+Zapallar!R44</f>
        <v>0</v>
      </c>
      <c r="S46" s="206">
        <f>+Cabildo!S44+'La Calera'!S44+Concón!S44+Hijuelas!S44+'La Cruz'!S44+'La Ligua'!S44+Limache!S44+Nogales!S44+Olmue!S44+Papudo!S44+Petorca!S44+Puchuncavi!S44+Quillota!S44+Quilpue!S44+Quintero!S44+'Villa Alemana'!S44+'Viña del Mar'!S44+Zapallar!S44</f>
        <v>0</v>
      </c>
      <c r="T46" s="690">
        <f>+Cabildo!T44+'La Calera'!T44+Concón!T44+Hijuelas!T44+'La Cruz'!T44+'La Ligua'!T44+Limache!T44+Nogales!T44+Olmue!T44+Papudo!T44+Petorca!T44+Puchuncavi!T44+Quillota!T44+Quilpue!T44+Quintero!T44+'Villa Alemana'!T44+'Viña del Mar'!T44+Zapallar!T44</f>
        <v>87262378.799999997</v>
      </c>
      <c r="U46" s="235">
        <f>+Cabildo!U44+'La Calera'!U44+Concón!U44+Hijuelas!U44+'La Cruz'!U44+'La Ligua'!U44+Limache!U44+Nogales!U44+Olmue!U44+Papudo!U44+Petorca!U44+Puchuncavi!U44+Quillota!U44+Quilpue!U44+Quintero!U44+'Villa Alemana'!U44+'Viña del Mar'!U44+Zapallar!U44</f>
        <v>0</v>
      </c>
      <c r="V46" s="206">
        <f>+Cabildo!V44+'La Calera'!V44+Concón!V44+Hijuelas!V44+'La Cruz'!V44+'La Ligua'!V44+Limache!V44+Nogales!V44+Olmue!V44+Papudo!V44+Petorca!V44+Puchuncavi!V44+Quillota!V44+Quilpue!V44+Quintero!V44+'Villa Alemana'!V44+'Viña del Mar'!V44+Zapallar!V44</f>
        <v>0</v>
      </c>
      <c r="W46" s="206">
        <f>+Cabildo!W44+'La Calera'!W44+Concón!W44+Hijuelas!W44+'La Cruz'!W44+'La Ligua'!W44+Limache!W44+Nogales!W44+Olmue!W44+Papudo!W44+Petorca!W44+Puchuncavi!W44+Quillota!W44+Quilpue!W44+Quintero!W44+'Villa Alemana'!W44+'Viña del Mar'!W44+Zapallar!W44</f>
        <v>0</v>
      </c>
      <c r="X46" s="206">
        <f>+Cabildo!X44+'La Calera'!X44+Concón!X44+Hijuelas!X44+'La Cruz'!X44+'La Ligua'!X44+Limache!X44+Nogales!X44+Olmue!X44+Papudo!X44+Petorca!X44+Puchuncavi!X44+Quillota!X44+Quilpue!X44+Quintero!X44+'Villa Alemana'!X44+'Viña del Mar'!X44+Zapallar!X44</f>
        <v>0</v>
      </c>
      <c r="Y46" s="206">
        <f>+Cabildo!Y44+'La Calera'!Y44+Concón!Y44+Hijuelas!Y44+'La Cruz'!Y44+'La Ligua'!Y44+Limache!Y44+Nogales!Y44+Olmue!Y44+Papudo!Y44+Petorca!Y44+Puchuncavi!Y44+Quillota!Y44+Quilpue!Y44+Quintero!Y44+'Villa Alemana'!Y44+'Viña del Mar'!Y44+Zapallar!Y44</f>
        <v>203612217.19999999</v>
      </c>
      <c r="Z46" s="206">
        <f>+Cabildo!Z44+'La Calera'!Z44+Concón!Z44+Hijuelas!Z44+'La Cruz'!Z44+'La Ligua'!Z44+Limache!Z44+Nogales!Z44+Olmue!Z44+Papudo!Z44+Petorca!Z44+Puchuncavi!Z44+Quillota!Z44+Quilpue!Z44+Quintero!Z44+'Villa Alemana'!Z44+'Viña del Mar'!Z44+Zapallar!Z44</f>
        <v>0</v>
      </c>
      <c r="AA46" s="206">
        <f>+Cabildo!AA44+'La Calera'!AA44+Concón!AA44+Hijuelas!AA44+'La Cruz'!AA44+'La Ligua'!AA44+Limache!AA44+Nogales!AA44+Olmue!AA44+Papudo!AA44+Petorca!AA44+Puchuncavi!AA44+Quillota!AA44+Quilpue!AA44+Quintero!AA44+'Villa Alemana'!AA44+'Viña del Mar'!AA44+Zapallar!AA44</f>
        <v>0</v>
      </c>
      <c r="AB46" s="206">
        <f>+Cabildo!AB44+'La Calera'!AB44+Concón!AB44+Hijuelas!AB44+'La Cruz'!AB44+'La Ligua'!AB44+Limache!AB44+Nogales!AB44+Olmue!AB44+Papudo!AB44+Petorca!AB44+Puchuncavi!AB44+Quillota!AB44+Quilpue!AB44+Quintero!AB44+'Villa Alemana'!AB44+'Viña del Mar'!AB44+Zapallar!AB44</f>
        <v>0</v>
      </c>
      <c r="AC46" s="206">
        <f>+Cabildo!AC44+'La Calera'!AC44+Concón!AC44+Hijuelas!AC44+'La Cruz'!AC44+'La Ligua'!AC44+Limache!AC44+Nogales!AC44+Olmue!AC44+Papudo!AC44+Petorca!AC44+Puchuncavi!AC44+Quillota!AC44+Quilpue!AC44+Quintero!AC44+'Villa Alemana'!AC44+'Viña del Mar'!AC44+Zapallar!AC44</f>
        <v>0</v>
      </c>
      <c r="AD46" s="206">
        <f>+Cabildo!AD44+'La Calera'!AD44+Concón!AD44+Hijuelas!AD44+'La Cruz'!AD44+'La Ligua'!AD44+Limache!AD44+Nogales!AD44+Olmue!AD44+Papudo!AD44+Petorca!AD44+Puchuncavi!AD44+Quillota!AD44+Quilpue!AD44+Quintero!AD44+'Villa Alemana'!AD44+'Viña del Mar'!AD44+Zapallar!AD44</f>
        <v>0</v>
      </c>
      <c r="AE46" s="206">
        <f>+Cabildo!AE44+'La Calera'!AE44+Concón!AE44+Hijuelas!AE44+'La Cruz'!AE44+'La Ligua'!AE44+Limache!AE44+Nogales!AE44+Olmue!AE44+Papudo!AE44+Petorca!AE44+Puchuncavi!AE44+Quillota!AE44+Quilpue!AE44+Quintero!AE44+'Villa Alemana'!AE44+'Viña del Mar'!AE44+Zapallar!AE44</f>
        <v>0</v>
      </c>
      <c r="AF46" s="221">
        <f>+Cabildo!AF44+'La Calera'!AF44+Concón!AF44+Hijuelas!AF44+'La Cruz'!AF44+'La Ligua'!AF44+Limache!AF44+Nogales!AF44+Olmue!AF44+Papudo!AF44+Petorca!AF44+Puchuncavi!AF44+Quillota!AF44+Quilpue!AF44+Quintero!AF44+'Villa Alemana'!AF44+'Viña del Mar'!AF44+Zapallar!AF44</f>
        <v>87262378.799999997</v>
      </c>
      <c r="AG46" s="664">
        <f t="shared" si="9"/>
        <v>290874596</v>
      </c>
      <c r="AH46" s="431">
        <f t="shared" si="10"/>
        <v>0</v>
      </c>
      <c r="AK46" s="235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27"/>
      <c r="AW46" s="228">
        <f t="shared" si="12"/>
        <v>0</v>
      </c>
      <c r="AX46" s="431">
        <f t="shared" si="11"/>
        <v>290874596</v>
      </c>
    </row>
    <row r="47" spans="1:50" s="390" customFormat="1" ht="29.25">
      <c r="A47" s="18">
        <v>12</v>
      </c>
      <c r="B47" s="66" t="s">
        <v>79</v>
      </c>
      <c r="C47" s="147"/>
      <c r="D47" s="387">
        <f>+Cabildo!D45+'La Calera'!D45+Concón!D45+Hijuelas!D45+'La Cruz'!D45+'La Ligua'!D45+Limache!D45+Nogales!D45+Olmue!D45+Papudo!D45+Petorca!D45+Puchuncavi!D45+Quillota!D45+Quilpue!D45+Quintero!D45+'Villa Alemana'!D45+'Viña del Mar'!D45+Zapallar!D45</f>
        <v>947370962</v>
      </c>
      <c r="E47" s="142">
        <f>+D47*E33</f>
        <v>663159673.39999998</v>
      </c>
      <c r="F47" s="143">
        <f>+D47*F33</f>
        <v>284211288.59999996</v>
      </c>
      <c r="G47" s="160"/>
      <c r="H47" s="324">
        <f t="shared" si="8"/>
        <v>947370961.20000005</v>
      </c>
      <c r="I47" s="252">
        <f>+Cabildo!I45+'La Calera'!I45+Concón!I45+Hijuelas!I45+'La Cruz'!I45+'La Ligua'!I45+Limache!I45+Nogales!I45+Olmue!I45+Papudo!I45+Petorca!I45+Puchuncavi!I45+Quillota!I45+Quilpue!I45+Quintero!I45+'Villa Alemana'!I45+'Viña del Mar'!I45+Zapallar!I45</f>
        <v>0</v>
      </c>
      <c r="J47" s="206">
        <f>+Cabildo!J45+'La Calera'!J45+Concón!J45+Hijuelas!J45+'La Cruz'!J45+'La Ligua'!J45+Limache!J45+Nogales!J45+Olmue!J45+Papudo!J45+Petorca!J45+Puchuncavi!J45+Quillota!J45+Quilpue!J45+Quintero!J45+'Villa Alemana'!J45+'Viña del Mar'!J45+Zapallar!J45</f>
        <v>0</v>
      </c>
      <c r="K47" s="206">
        <f>+Cabildo!K45+'La Calera'!K45+Concón!K45+Hijuelas!K45+'La Cruz'!K45+'La Ligua'!K45+Limache!K45+Nogales!K45+Olmue!K45+Papudo!K45+Petorca!K45+Puchuncavi!K45+Quillota!K45+Quilpue!K45+Quintero!K45+'Villa Alemana'!K45+'Viña del Mar'!K45+Zapallar!K45</f>
        <v>443524335.19999999</v>
      </c>
      <c r="L47" s="206">
        <f>+Cabildo!L45+'La Calera'!L45+Concón!L45+Hijuelas!L45+'La Cruz'!L45+'La Ligua'!L45+Limache!L45+Nogales!L45+Olmue!L45+Papudo!L45+Petorca!L45+Puchuncavi!L45+Quillota!L45+Quilpue!L45+Quintero!L45+'Villa Alemana'!L45+'Viña del Mar'!L45+Zapallar!L45</f>
        <v>113812681</v>
      </c>
      <c r="M47" s="206">
        <f>+Cabildo!M45+'La Calera'!M45+Concón!M45+Hijuelas!M45+'La Cruz'!M45+'La Ligua'!M45+Limache!M45+Nogales!M45+Olmue!M45+Papudo!M45+Petorca!M45+Puchuncavi!M45+Quillota!M45+Quilpue!M45+Quintero!M45+'Villa Alemana'!M45+'Viña del Mar'!M45+Zapallar!M45</f>
        <v>105822658</v>
      </c>
      <c r="N47" s="206">
        <f>+Cabildo!N45+'La Calera'!N45+Concón!N45+Hijuelas!N45+'La Cruz'!N45+'La Ligua'!N45+Limache!N45+Nogales!N45+Olmue!N45+Papudo!N45+Petorca!N45+Puchuncavi!N45+Quillota!N45+Quilpue!N45+Quintero!N45+'Villa Alemana'!N45+'Viña del Mar'!N45+Zapallar!N45</f>
        <v>0</v>
      </c>
      <c r="O47" s="206">
        <f>+Cabildo!O45+'La Calera'!O45+Concón!O45+Hijuelas!O45+'La Cruz'!O45+'La Ligua'!O45+Limache!O45+Nogales!O45+Olmue!O45+Papudo!O45+Petorca!O45+Puchuncavi!O45+Quillota!O45+Quilpue!O45+Quintero!O45+'Villa Alemana'!O45+'Viña del Mar'!O45+Zapallar!O45</f>
        <v>0</v>
      </c>
      <c r="P47" s="206">
        <f>+Cabildo!P45+'La Calera'!P45+Concón!P45+Hijuelas!P45+'La Cruz'!P45+'La Ligua'!P45+Limache!P45+Nogales!P45+Olmue!P45+Papudo!P45+Petorca!P45+Puchuncavi!P45+Quillota!P45+Quilpue!P45+Quintero!P45+'Villa Alemana'!P45+'Viña del Mar'!P45+Zapallar!P45</f>
        <v>0</v>
      </c>
      <c r="Q47" s="206">
        <f>+Cabildo!Q45+'La Calera'!Q45+Concón!Q45+Hijuelas!Q45+'La Cruz'!Q45+'La Ligua'!Q45+Limache!Q45+Nogales!Q45+Olmue!Q45+Papudo!Q45+Petorca!Q45+Puchuncavi!Q45+Quillota!Q45+Quilpue!Q45+Quintero!Q45+'Villa Alemana'!Q45+'Viña del Mar'!Q45+Zapallar!Q45</f>
        <v>0</v>
      </c>
      <c r="R47" s="660">
        <f>+Cabildo!R45+'La Calera'!R45+Concón!R45+Hijuelas!R45+'La Cruz'!R45+'La Ligua'!R45+Limache!R45+Nogales!R45+Olmue!R45+Papudo!R45+Petorca!R45+Puchuncavi!R45+Quillota!R45+Quilpue!R45+Quintero!R45+'Villa Alemana'!R45+'Viña del Mar'!R45+Zapallar!R45</f>
        <v>284211287</v>
      </c>
      <c r="S47" s="206">
        <f>+Cabildo!S45+'La Calera'!S45+Concón!S45+Hijuelas!S45+'La Cruz'!S45+'La Ligua'!S45+Limache!S45+Nogales!S45+Olmue!S45+Papudo!S45+Petorca!S45+Puchuncavi!S45+Quillota!S45+Quilpue!S45+Quintero!S45+'Villa Alemana'!S45+'Viña del Mar'!S45+Zapallar!S45</f>
        <v>0</v>
      </c>
      <c r="T47" s="227">
        <f>+Cabildo!T45+'La Calera'!T45+Concón!T45+Hijuelas!T45+'La Cruz'!T45+'La Ligua'!T45+Limache!T45+Nogales!T45+Olmue!T45+Papudo!T45+Petorca!T45+Puchuncavi!T45+Quillota!T45+Quilpue!T45+Quintero!T45+'Villa Alemana'!T45+'Viña del Mar'!T45+Zapallar!T45</f>
        <v>0</v>
      </c>
      <c r="U47" s="235">
        <f>+Cabildo!U45+'La Calera'!U45+Concón!U45+Hijuelas!U45+'La Cruz'!U45+'La Ligua'!U45+Limache!U45+Nogales!U45+Olmue!U45+Papudo!U45+Petorca!U45+Puchuncavi!U45+Quillota!U45+Quilpue!U45+Quintero!U45+'Villa Alemana'!U45+'Viña del Mar'!U45+Zapallar!U45</f>
        <v>0</v>
      </c>
      <c r="V47" s="206">
        <f>+Cabildo!V45+'La Calera'!V45+Concón!V45+Hijuelas!V45+'La Cruz'!V45+'La Ligua'!V45+Limache!V45+Nogales!V45+Olmue!V45+Papudo!V45+Petorca!V45+Puchuncavi!V45+Quillota!V45+Quilpue!V45+Quintero!V45+'Villa Alemana'!V45+'Viña del Mar'!V45+Zapallar!V45</f>
        <v>0</v>
      </c>
      <c r="W47" s="206">
        <f>+Cabildo!W45+'La Calera'!W45+Concón!W45+Hijuelas!W45+'La Cruz'!W45+'La Ligua'!W45+Limache!W45+Nogales!W45+Olmue!W45+Papudo!W45+Petorca!W45+Puchuncavi!W45+Quillota!W45+Quilpue!W45+Quintero!W45+'Villa Alemana'!W45+'Viña del Mar'!W45+Zapallar!W45</f>
        <v>443524336</v>
      </c>
      <c r="X47" s="206">
        <f>+Cabildo!X45+'La Calera'!X45+Concón!X45+Hijuelas!X45+'La Cruz'!X45+'La Ligua'!X45+Limache!X45+Nogales!X45+Olmue!X45+Papudo!X45+Petorca!X45+Puchuncavi!X45+Quillota!X45+Quilpue!X45+Quintero!X45+'Villa Alemana'!X45+'Viña del Mar'!X45+Zapallar!X45</f>
        <v>113812681</v>
      </c>
      <c r="Y47" s="206">
        <f>+Cabildo!Y45+'La Calera'!Y45+Concón!Y45+Hijuelas!Y45+'La Cruz'!Y45+'La Ligua'!Y45+Limache!Y45+Nogales!Y45+Olmue!Y45+Papudo!Y45+Petorca!Y45+Puchuncavi!Y45+Quillota!Y45+Quilpue!Y45+Quintero!Y45+'Villa Alemana'!Y45+'Viña del Mar'!Y45+Zapallar!Y45</f>
        <v>105822658</v>
      </c>
      <c r="Z47" s="206">
        <f>+Cabildo!Z45+'La Calera'!Z45+Concón!Z45+Hijuelas!Z45+'La Cruz'!Z45+'La Ligua'!Z45+Limache!Z45+Nogales!Z45+Olmue!Z45+Papudo!Z45+Petorca!Z45+Puchuncavi!Z45+Quillota!Z45+Quilpue!Z45+Quintero!Z45+'Villa Alemana'!Z45+'Viña del Mar'!Z45+Zapallar!Z45</f>
        <v>0</v>
      </c>
      <c r="AA47" s="206">
        <f>+Cabildo!AA45+'La Calera'!AA45+Concón!AA45+Hijuelas!AA45+'La Cruz'!AA45+'La Ligua'!AA45+Limache!AA45+Nogales!AA45+Olmue!AA45+Papudo!AA45+Petorca!AA45+Puchuncavi!AA45+Quillota!AA45+Quilpue!AA45+Quintero!AA45+'Villa Alemana'!AA45+'Viña del Mar'!AA45+Zapallar!AA45</f>
        <v>0</v>
      </c>
      <c r="AB47" s="206">
        <f>+Cabildo!AB45+'La Calera'!AB45+Concón!AB45+Hijuelas!AB45+'La Cruz'!AB45+'La Ligua'!AB45+Limache!AB45+Nogales!AB45+Olmue!AB45+Papudo!AB45+Petorca!AB45+Puchuncavi!AB45+Quillota!AB45+Quilpue!AB45+Quintero!AB45+'Villa Alemana'!AB45+'Viña del Mar'!AB45+Zapallar!AB45</f>
        <v>0</v>
      </c>
      <c r="AC47" s="206">
        <f>+Cabildo!AC45+'La Calera'!AC45+Concón!AC45+Hijuelas!AC45+'La Cruz'!AC45+'La Ligua'!AC45+Limache!AC45+Nogales!AC45+Olmue!AC45+Papudo!AC45+Petorca!AC45+Puchuncavi!AC45+Quillota!AC45+Quilpue!AC45+Quintero!AC45+'Villa Alemana'!AC45+'Viña del Mar'!AC45+Zapallar!AC45</f>
        <v>0</v>
      </c>
      <c r="AD47" s="206">
        <f>+Cabildo!AD45+'La Calera'!AD45+Concón!AD45+Hijuelas!AD45+'La Cruz'!AD45+'La Ligua'!AD45+Limache!AD45+Nogales!AD45+Olmue!AD45+Papudo!AD45+Petorca!AD45+Puchuncavi!AD45+Quillota!AD45+Quilpue!AD45+Quintero!AD45+'Villa Alemana'!AD45+'Viña del Mar'!AD45+Zapallar!AD45</f>
        <v>237712521</v>
      </c>
      <c r="AE47" s="206">
        <f>+Cabildo!AE45+'La Calera'!AE45+Concón!AE45+Hijuelas!AE45+'La Cruz'!AE45+'La Ligua'!AE45+Limache!AE45+Nogales!AE45+Olmue!AE45+Papudo!AE45+Petorca!AE45+Puchuncavi!AE45+Quillota!AE45+Quilpue!AE45+Quintero!AE45+'Villa Alemana'!AE45+'Viña del Mar'!AE45+Zapallar!AE45</f>
        <v>35310041</v>
      </c>
      <c r="AF47" s="221">
        <f>+Cabildo!AF45+'La Calera'!AF45+Concón!AF45+Hijuelas!AF45+'La Cruz'!AF45+'La Ligua'!AF45+Limache!AF45+Nogales!AF45+Olmue!AF45+Papudo!AF45+Petorca!AF45+Puchuncavi!AF45+Quillota!AF45+Quilpue!AF45+Quintero!AF45+'Villa Alemana'!AF45+'Viña del Mar'!AF45+Zapallar!AF45</f>
        <v>0</v>
      </c>
      <c r="AG47" s="664">
        <f t="shared" si="9"/>
        <v>936182237</v>
      </c>
      <c r="AH47" s="431">
        <f t="shared" si="10"/>
        <v>11188724.200000048</v>
      </c>
      <c r="AK47" s="389"/>
      <c r="AL47" s="388"/>
      <c r="AM47" s="388"/>
      <c r="AN47" s="388"/>
      <c r="AO47" s="388"/>
      <c r="AP47" s="388"/>
      <c r="AQ47" s="388"/>
      <c r="AR47" s="388"/>
      <c r="AS47" s="388"/>
      <c r="AT47" s="388"/>
      <c r="AU47" s="388"/>
      <c r="AV47" s="434"/>
      <c r="AW47" s="448">
        <f t="shared" si="12"/>
        <v>0</v>
      </c>
      <c r="AX47" s="431">
        <f t="shared" si="11"/>
        <v>936182237</v>
      </c>
    </row>
    <row r="48" spans="1:50" ht="15">
      <c r="A48" s="18">
        <v>13</v>
      </c>
      <c r="B48" s="7" t="s">
        <v>80</v>
      </c>
      <c r="C48" s="147"/>
      <c r="D48" s="21">
        <f>+Cabildo!D46+'La Calera'!D46+Concón!D46+Hijuelas!D46+'La Cruz'!D46+'La Ligua'!D46+Limache!D46+Nogales!D46+Olmue!D46+Papudo!D46+Petorca!D46+Puchuncavi!D46+Quillota!D46+Quilpue!D46+Quintero!D46+'Villa Alemana'!D46+'Viña del Mar'!D46+Zapallar!D46</f>
        <v>11100000</v>
      </c>
      <c r="E48" s="142"/>
      <c r="F48" s="143"/>
      <c r="G48" s="160"/>
      <c r="H48" s="324">
        <f t="shared" si="8"/>
        <v>11100000</v>
      </c>
      <c r="I48" s="252">
        <f>+Cabildo!I46+'La Calera'!I46+Concón!I46+Hijuelas!I46+'La Cruz'!I46+'La Ligua'!I46+Limache!I46+Nogales!I46+Olmue!I46+Papudo!I46+Petorca!I46+Puchuncavi!I46+Quillota!I46+Quilpue!I46+Quintero!I46+'Villa Alemana'!I46+'Viña del Mar'!I46+Zapallar!I46</f>
        <v>0</v>
      </c>
      <c r="J48" s="206">
        <f>+Cabildo!J46+'La Calera'!J46+Concón!J46+Hijuelas!J46+'La Cruz'!J46+'La Ligua'!J46+Limache!J46+Nogales!J46+Olmue!J46+Papudo!J46+Petorca!J46+Puchuncavi!J46+Quillota!J46+Quilpue!J46+Quintero!J46+'Villa Alemana'!J46+'Viña del Mar'!J46+Zapallar!J46</f>
        <v>0</v>
      </c>
      <c r="K48" s="206">
        <f>+Cabildo!K46+'La Calera'!K46+Concón!K46+Hijuelas!K46+'La Cruz'!K46+'La Ligua'!K46+Limache!K46+Nogales!K46+Olmue!K46+Papudo!K46+Petorca!K46+Puchuncavi!K46+Quillota!K46+Quilpue!K46+Quintero!K46+'Villa Alemana'!K46+'Viña del Mar'!K46+Zapallar!K46</f>
        <v>0</v>
      </c>
      <c r="L48" s="206">
        <f>+Cabildo!L46+'La Calera'!L46+Concón!L46+Hijuelas!L46+'La Cruz'!L46+'La Ligua'!L46+Limache!L46+Nogales!L46+Olmue!L46+Papudo!L46+Petorca!L46+Puchuncavi!L46+Quillota!L46+Quilpue!L46+Quintero!L46+'Villa Alemana'!L46+'Viña del Mar'!L46+Zapallar!L46</f>
        <v>0</v>
      </c>
      <c r="M48" s="206">
        <f>+Cabildo!M46+'La Calera'!M46+Concón!M46+Hijuelas!M46+'La Cruz'!M46+'La Ligua'!M46+Limache!M46+Nogales!M46+Olmue!M46+Papudo!M46+Petorca!M46+Puchuncavi!M46+Quillota!M46+Quilpue!M46+Quintero!M46+'Villa Alemana'!M46+'Viña del Mar'!M46+Zapallar!M46</f>
        <v>0</v>
      </c>
      <c r="N48" s="206">
        <f>+Cabildo!N46+'La Calera'!N46+Concón!N46+Hijuelas!N46+'La Cruz'!N46+'La Ligua'!N46+Limache!N46+Nogales!N46+Olmue!N46+Papudo!N46+Petorca!N46+Puchuncavi!N46+Quillota!N46+Quilpue!N46+Quintero!N46+'Villa Alemana'!N46+'Viña del Mar'!N46+Zapallar!N46</f>
        <v>7770000</v>
      </c>
      <c r="O48" s="206">
        <f>+Cabildo!O46+'La Calera'!O46+Concón!O46+Hijuelas!O46+'La Cruz'!O46+'La Ligua'!O46+Limache!O46+Nogales!O46+Olmue!O46+Papudo!O46+Petorca!O46+Puchuncavi!O46+Quillota!O46+Quilpue!O46+Quintero!O46+'Villa Alemana'!O46+'Viña del Mar'!O46+Zapallar!O46</f>
        <v>0</v>
      </c>
      <c r="P48" s="206">
        <f>+Cabildo!P46+'La Calera'!P46+Concón!P46+Hijuelas!P46+'La Cruz'!P46+'La Ligua'!P46+Limache!P46+Nogales!P46+Olmue!P46+Papudo!P46+Petorca!P46+Puchuncavi!P46+Quillota!P46+Quilpue!P46+Quintero!P46+'Villa Alemana'!P46+'Viña del Mar'!P46+Zapallar!P46</f>
        <v>0</v>
      </c>
      <c r="Q48" s="206">
        <f>+Cabildo!Q46+'La Calera'!Q46+Concón!Q46+Hijuelas!Q46+'La Cruz'!Q46+'La Ligua'!Q46+Limache!Q46+Nogales!Q46+Olmue!Q46+Papudo!Q46+Petorca!Q46+Puchuncavi!Q46+Quillota!Q46+Quilpue!Q46+Quintero!Q46+'Villa Alemana'!Q46+'Viña del Mar'!Q46+Zapallar!Q46</f>
        <v>0</v>
      </c>
      <c r="R48" s="560">
        <f>+Cabildo!R46+'La Calera'!R46+Concón!R46+Hijuelas!R46+'La Cruz'!R46+'La Ligua'!R46+Limache!R46+Nogales!R46+Olmue!R46+Papudo!R46+Petorca!R46+Puchuncavi!R46+Quillota!R46+Quilpue!R46+Quintero!R46+'Villa Alemana'!R46+'Viña del Mar'!R46+Zapallar!R46</f>
        <v>3330000</v>
      </c>
      <c r="S48" s="206">
        <f>+Cabildo!S46+'La Calera'!S46+Concón!S46+Hijuelas!S46+'La Cruz'!S46+'La Ligua'!S46+Limache!S46+Nogales!S46+Olmue!S46+Papudo!S46+Petorca!S46+Puchuncavi!S46+Quillota!S46+Quilpue!S46+Quintero!S46+'Villa Alemana'!S46+'Viña del Mar'!S46+Zapallar!S46</f>
        <v>0</v>
      </c>
      <c r="T48" s="227">
        <f>+Cabildo!T46+'La Calera'!T46+Concón!T46+Hijuelas!T46+'La Cruz'!T46+'La Ligua'!T46+Limache!T46+Nogales!T46+Olmue!T46+Papudo!T46+Petorca!T46+Puchuncavi!T46+Quillota!T46+Quilpue!T46+Quintero!T46+'Villa Alemana'!T46+'Viña del Mar'!T46+Zapallar!T46</f>
        <v>0</v>
      </c>
      <c r="U48" s="235">
        <f>+Cabildo!U46+'La Calera'!U46+Concón!U46+Hijuelas!U46+'La Cruz'!U46+'La Ligua'!U46+Limache!U46+Nogales!U46+Olmue!U46+Papudo!U46+Petorca!U46+Puchuncavi!U46+Quillota!U46+Quilpue!U46+Quintero!U46+'Villa Alemana'!U46+'Viña del Mar'!U46+Zapallar!U46</f>
        <v>0</v>
      </c>
      <c r="V48" s="206">
        <f>+Cabildo!V46+'La Calera'!V46+Concón!V46+Hijuelas!V46+'La Cruz'!V46+'La Ligua'!V46+Limache!V46+Nogales!V46+Olmue!V46+Papudo!V46+Petorca!V46+Puchuncavi!V46+Quillota!V46+Quilpue!V46+Quintero!V46+'Villa Alemana'!V46+'Viña del Mar'!V46+Zapallar!V46</f>
        <v>0</v>
      </c>
      <c r="W48" s="206">
        <f>+Cabildo!W46+'La Calera'!W46+Concón!W46+Hijuelas!W46+'La Cruz'!W46+'La Ligua'!W46+Limache!W46+Nogales!W46+Olmue!W46+Papudo!W46+Petorca!W46+Puchuncavi!W46+Quillota!W46+Quilpue!W46+Quintero!W46+'Villa Alemana'!W46+'Viña del Mar'!W46+Zapallar!W46</f>
        <v>0</v>
      </c>
      <c r="X48" s="206">
        <f>+Cabildo!X46+'La Calera'!X46+Concón!X46+Hijuelas!X46+'La Cruz'!X46+'La Ligua'!X46+Limache!X46+Nogales!X46+Olmue!X46+Papudo!X46+Petorca!X46+Puchuncavi!X46+Quillota!X46+Quilpue!X46+Quintero!X46+'Villa Alemana'!X46+'Viña del Mar'!X46+Zapallar!X46</f>
        <v>0</v>
      </c>
      <c r="Y48" s="206">
        <f>+Cabildo!Y46+'La Calera'!Y46+Concón!Y46+Hijuelas!Y46+'La Cruz'!Y46+'La Ligua'!Y46+Limache!Y46+Nogales!Y46+Olmue!Y46+Papudo!Y46+Petorca!Y46+Puchuncavi!Y46+Quillota!Y46+Quilpue!Y46+Quintero!Y46+'Villa Alemana'!Y46+'Viña del Mar'!Y46+Zapallar!Y46</f>
        <v>0</v>
      </c>
      <c r="Z48" s="206">
        <f>+Cabildo!Z46+'La Calera'!Z46+Concón!Z46+Hijuelas!Z46+'La Cruz'!Z46+'La Ligua'!Z46+Limache!Z46+Nogales!Z46+Olmue!Z46+Papudo!Z46+Petorca!Z46+Puchuncavi!Z46+Quillota!Z46+Quilpue!Z46+Quintero!Z46+'Villa Alemana'!Z46+'Viña del Mar'!Z46+Zapallar!Z46</f>
        <v>7770000</v>
      </c>
      <c r="AA48" s="206">
        <f>+Cabildo!AA46+'La Calera'!AA46+Concón!AA46+Hijuelas!AA46+'La Cruz'!AA46+'La Ligua'!AA46+Limache!AA46+Nogales!AA46+Olmue!AA46+Papudo!AA46+Petorca!AA46+Puchuncavi!AA46+Quillota!AA46+Quilpue!AA46+Quintero!AA46+'Villa Alemana'!AA46+'Viña del Mar'!AA46+Zapallar!AA46</f>
        <v>0</v>
      </c>
      <c r="AB48" s="206">
        <f>+Cabildo!AB46+'La Calera'!AB46+Concón!AB46+Hijuelas!AB46+'La Cruz'!AB46+'La Ligua'!AB46+Limache!AB46+Nogales!AB46+Olmue!AB46+Papudo!AB46+Petorca!AB46+Puchuncavi!AB46+Quillota!AB46+Quilpue!AB46+Quintero!AB46+'Villa Alemana'!AB46+'Viña del Mar'!AB46+Zapallar!AB46</f>
        <v>0</v>
      </c>
      <c r="AC48" s="206">
        <f>+Cabildo!AC46+'La Calera'!AC46+Concón!AC46+Hijuelas!AC46+'La Cruz'!AC46+'La Ligua'!AC46+Limache!AC46+Nogales!AC46+Olmue!AC46+Papudo!AC46+Petorca!AC46+Puchuncavi!AC46+Quillota!AC46+Quilpue!AC46+Quintero!AC46+'Villa Alemana'!AC46+'Viña del Mar'!AC46+Zapallar!AC46</f>
        <v>0</v>
      </c>
      <c r="AD48" s="206">
        <f>+Cabildo!AD46+'La Calera'!AD46+Concón!AD46+Hijuelas!AD46+'La Cruz'!AD46+'La Ligua'!AD46+Limache!AD46+Nogales!AD46+Olmue!AD46+Papudo!AD46+Petorca!AD46+Puchuncavi!AD46+Quillota!AD46+Quilpue!AD46+Quintero!AD46+'Villa Alemana'!AD46+'Viña del Mar'!AD46+Zapallar!AD46</f>
        <v>3330000</v>
      </c>
      <c r="AE48" s="206">
        <f>+Cabildo!AE46+'La Calera'!AE46+Concón!AE46+Hijuelas!AE46+'La Cruz'!AE46+'La Ligua'!AE46+Limache!AE46+Nogales!AE46+Olmue!AE46+Papudo!AE46+Petorca!AE46+Puchuncavi!AE46+Quillota!AE46+Quilpue!AE46+Quintero!AE46+'Villa Alemana'!AE46+'Viña del Mar'!AE46+Zapallar!AE46</f>
        <v>0</v>
      </c>
      <c r="AF48" s="221">
        <f>+Cabildo!AF46+'La Calera'!AF46+Concón!AF46+Hijuelas!AF46+'La Cruz'!AF46+'La Ligua'!AF46+Limache!AF46+Nogales!AF46+Olmue!AF46+Papudo!AF46+Petorca!AF46+Puchuncavi!AF46+Quillota!AF46+Quilpue!AF46+Quintero!AF46+'Villa Alemana'!AF46+'Viña del Mar'!AF46+Zapallar!AF46</f>
        <v>0</v>
      </c>
      <c r="AG48" s="664">
        <f t="shared" si="9"/>
        <v>11100000</v>
      </c>
      <c r="AH48" s="431">
        <f t="shared" si="10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>SUM(AK48:AV48)</f>
        <v>0</v>
      </c>
      <c r="AX48" s="431">
        <f t="shared" si="11"/>
        <v>11100000</v>
      </c>
    </row>
    <row r="49" spans="1:50" ht="15">
      <c r="A49" s="18">
        <v>14</v>
      </c>
      <c r="B49" s="7" t="s">
        <v>81</v>
      </c>
      <c r="C49" s="147"/>
      <c r="D49" s="21">
        <f>+Cabildo!D47+'La Calera'!D47+Concón!D47+Hijuelas!D47+'La Cruz'!D47+'La Ligua'!D47+Limache!D47+Nogales!D47+Olmue!D47+Papudo!D47+Petorca!D47+Puchuncavi!D47+Quillota!D47+Quilpue!D47+Quintero!D47+'Villa Alemana'!D47+'Viña del Mar'!D47+Zapallar!D47</f>
        <v>1133652300</v>
      </c>
      <c r="E49" s="142">
        <f>+D49*E33</f>
        <v>793556610</v>
      </c>
      <c r="F49" s="143">
        <f>+D49*F33</f>
        <v>340095690</v>
      </c>
      <c r="G49" s="160"/>
      <c r="H49" s="324">
        <f t="shared" si="8"/>
        <v>1133652000</v>
      </c>
      <c r="I49" s="252">
        <f>+Cabildo!I47+'La Calera'!I47+Concón!I47+Hijuelas!I47+'La Cruz'!I47+'La Ligua'!I47+Limache!I47+Nogales!I47+Olmue!I47+Papudo!I47+Petorca!I47+Puchuncavi!I47+Quillota!I47+Quilpue!I47+Quintero!I47+'Villa Alemana'!I47+'Viña del Mar'!I47+Zapallar!I47</f>
        <v>0</v>
      </c>
      <c r="J49" s="206">
        <f>+Cabildo!J47+'La Calera'!J47+Concón!J47+Hijuelas!J47+'La Cruz'!J47+'La Ligua'!J47+Limache!J47+Nogales!J47+Olmue!J47+Papudo!J47+Petorca!J47+Puchuncavi!J47+Quillota!J47+Quilpue!J47+Quintero!J47+'Villa Alemana'!J47+'Viña del Mar'!J47+Zapallar!J47</f>
        <v>0</v>
      </c>
      <c r="K49" s="206">
        <f>+Cabildo!K47+'La Calera'!K47+Concón!K47+Hijuelas!K47+'La Cruz'!K47+'La Ligua'!K47+Limache!K47+Nogales!K47+Olmue!K47+Papudo!K47+Petorca!K47+Puchuncavi!K47+Quillota!K47+Quilpue!K47+Quintero!K47+'Villa Alemana'!K47+'Viña del Mar'!K47+Zapallar!K47</f>
        <v>513320614</v>
      </c>
      <c r="L49" s="206">
        <f>+Cabildo!L47+'La Calera'!L47+Concón!L47+Hijuelas!L47+'La Cruz'!L47+'La Ligua'!L47+Limache!L47+Nogales!L47+Olmue!L47+Papudo!L47+Petorca!L47+Puchuncavi!L47+Quillota!L47+Quilpue!L47+Quintero!L47+'Villa Alemana'!L47+'Viña del Mar'!L47+Zapallar!L47</f>
        <v>107997757</v>
      </c>
      <c r="M49" s="206">
        <f>+Cabildo!M47+'La Calera'!M47+Concón!M47+Hijuelas!M47+'La Cruz'!M47+'La Ligua'!M47+Limache!M47+Nogales!M47+Olmue!M47+Papudo!M47+Petorca!M47+Puchuncavi!M47+Quillota!M47+Quilpue!M47+Quintero!M47+'Villa Alemana'!M47+'Viña del Mar'!M47+Zapallar!M47</f>
        <v>172238025</v>
      </c>
      <c r="N49" s="206">
        <f>+Cabildo!N47+'La Calera'!N47+Concón!N47+Hijuelas!N47+'La Cruz'!N47+'La Ligua'!N47+Limache!N47+Nogales!N47+Olmue!N47+Papudo!N47+Petorca!N47+Puchuncavi!N47+Quillota!N47+Quilpue!N47+Quintero!N47+'Villa Alemana'!N47+'Viña del Mar'!N47+Zapallar!N47</f>
        <v>0</v>
      </c>
      <c r="O49" s="206">
        <f>+Cabildo!O47+'La Calera'!O47+Concón!O47+Hijuelas!O47+'La Cruz'!O47+'La Ligua'!O47+Limache!O47+Nogales!O47+Olmue!O47+Papudo!O47+Petorca!O47+Puchuncavi!O47+Quillota!O47+Quilpue!O47+Quintero!O47+'Villa Alemana'!O47+'Viña del Mar'!O47+Zapallar!O47</f>
        <v>0</v>
      </c>
      <c r="P49" s="206">
        <f>+Cabildo!P47+'La Calera'!P47+Concón!P47+Hijuelas!P47+'La Cruz'!P47+'La Ligua'!P47+Limache!P47+Nogales!P47+Olmue!P47+Papudo!P47+Petorca!P47+Puchuncavi!P47+Quillota!P47+Quilpue!P47+Quintero!P47+'Villa Alemana'!P47+'Viña del Mar'!P47+Zapallar!P47</f>
        <v>0</v>
      </c>
      <c r="Q49" s="206">
        <f>+Cabildo!Q47+'La Calera'!Q47+Concón!Q47+Hijuelas!Q47+'La Cruz'!Q47+'La Ligua'!Q47+Limache!Q47+Nogales!Q47+Olmue!Q47+Papudo!Q47+Petorca!Q47+Puchuncavi!Q47+Quillota!Q47+Quilpue!Q47+Quintero!Q47+'Villa Alemana'!Q47+'Viña del Mar'!Q47+Zapallar!Q47</f>
        <v>0</v>
      </c>
      <c r="R49" s="206">
        <f>+Cabildo!R47+'La Calera'!R47+Concón!R47+Hijuelas!R47+'La Cruz'!R47+'La Ligua'!R47+Limache!R47+Nogales!R47+Olmue!R47+Papudo!R47+Petorca!R47+Puchuncavi!R47+Quillota!R47+Quilpue!R47+Quintero!R47+'Villa Alemana'!R47+'Viña del Mar'!R47+Zapallar!R47</f>
        <v>340095604</v>
      </c>
      <c r="S49" s="206">
        <f>+Cabildo!S47+'La Calera'!S47+Concón!S47+Hijuelas!S47+'La Cruz'!S47+'La Ligua'!S47+Limache!S47+Nogales!S47+Olmue!S47+Papudo!S47+Petorca!S47+Puchuncavi!S47+Quillota!S47+Quilpue!S47+Quintero!S47+'Villa Alemana'!S47+'Viña del Mar'!S47+Zapallar!S47</f>
        <v>0</v>
      </c>
      <c r="T49" s="227">
        <f>+Cabildo!T47+'La Calera'!T47+Concón!T47+Hijuelas!T47+'La Cruz'!T47+'La Ligua'!T47+Limache!T47+Nogales!T47+Olmue!T47+Papudo!T47+Petorca!T47+Puchuncavi!T47+Quillota!T47+Quilpue!T47+Quintero!T47+'Villa Alemana'!T47+'Viña del Mar'!T47+Zapallar!T47</f>
        <v>0</v>
      </c>
      <c r="U49" s="235">
        <f>+Cabildo!U47+'La Calera'!U47+Concón!U47+Hijuelas!U47+'La Cruz'!U47+'La Ligua'!U47+Limache!U47+Nogales!U47+Olmue!U47+Papudo!U47+Petorca!U47+Puchuncavi!U47+Quillota!U47+Quilpue!U47+Quintero!U47+'Villa Alemana'!U47+'Viña del Mar'!U47+Zapallar!U47</f>
        <v>0</v>
      </c>
      <c r="V49" s="206">
        <f>+Cabildo!V47+'La Calera'!V47+Concón!V47+Hijuelas!V47+'La Cruz'!V47+'La Ligua'!V47+Limache!V47+Nogales!V47+Olmue!V47+Papudo!V47+Petorca!V47+Puchuncavi!V47+Quillota!V47+Quilpue!V47+Quintero!V47+'Villa Alemana'!V47+'Viña del Mar'!V47+Zapallar!V47</f>
        <v>0</v>
      </c>
      <c r="W49" s="206">
        <f>+Cabildo!W47+'La Calera'!W47+Concón!W47+Hijuelas!W47+'La Cruz'!W47+'La Ligua'!W47+Limache!W47+Nogales!W47+Olmue!W47+Papudo!W47+Petorca!W47+Puchuncavi!W47+Quillota!W47+Quilpue!W47+Quintero!W47+'Villa Alemana'!W47+'Viña del Mar'!W47+Zapallar!W47</f>
        <v>513320614</v>
      </c>
      <c r="X49" s="206">
        <f>+Cabildo!X47+'La Calera'!X47+Concón!X47+Hijuelas!X47+'La Cruz'!X47+'La Ligua'!X47+Limache!X47+Nogales!X47+Olmue!X47+Papudo!X47+Petorca!X47+Puchuncavi!X47+Quillota!X47+Quilpue!X47+Quintero!X47+'Villa Alemana'!X47+'Viña del Mar'!X47+Zapallar!X47</f>
        <v>107997757</v>
      </c>
      <c r="Y49" s="206">
        <f>+Cabildo!Y47+'La Calera'!Y47+Concón!Y47+Hijuelas!Y47+'La Cruz'!Y47+'La Ligua'!Y47+Limache!Y47+Nogales!Y47+Olmue!Y47+Papudo!Y47+Petorca!Y47+Puchuncavi!Y47+Quillota!Y47+Quilpue!Y47+Quintero!Y47+'Villa Alemana'!Y47+'Viña del Mar'!Y47+Zapallar!Y47</f>
        <v>172238025</v>
      </c>
      <c r="Z49" s="206">
        <f>+Cabildo!Z47+'La Calera'!Z47+Concón!Z47+Hijuelas!Z47+'La Cruz'!Z47+'La Ligua'!Z47+Limache!Z47+Nogales!Z47+Olmue!Z47+Papudo!Z47+Petorca!Z47+Puchuncavi!Z47+Quillota!Z47+Quilpue!Z47+Quintero!Z47+'Villa Alemana'!Z47+'Viña del Mar'!Z47+Zapallar!Z47</f>
        <v>0</v>
      </c>
      <c r="AA49" s="206">
        <f>+Cabildo!AA47+'La Calera'!AA47+Concón!AA47+Hijuelas!AA47+'La Cruz'!AA47+'La Ligua'!AA47+Limache!AA47+Nogales!AA47+Olmue!AA47+Papudo!AA47+Petorca!AA47+Puchuncavi!AA47+Quillota!AA47+Quilpue!AA47+Quintero!AA47+'Villa Alemana'!AA47+'Viña del Mar'!AA47+Zapallar!AA47</f>
        <v>0</v>
      </c>
      <c r="AB49" s="206">
        <f>+Cabildo!AB47+'La Calera'!AB47+Concón!AB47+Hijuelas!AB47+'La Cruz'!AB47+'La Ligua'!AB47+Limache!AB47+Nogales!AB47+Olmue!AB47+Papudo!AB47+Petorca!AB47+Puchuncavi!AB47+Quillota!AB47+Quilpue!AB47+Quintero!AB47+'Villa Alemana'!AB47+'Viña del Mar'!AB47+Zapallar!AB47</f>
        <v>0</v>
      </c>
      <c r="AC49" s="206">
        <f>+Cabildo!AC47+'La Calera'!AC47+Concón!AC47+Hijuelas!AC47+'La Cruz'!AC47+'La Ligua'!AC47+Limache!AC47+Nogales!AC47+Olmue!AC47+Papudo!AC47+Petorca!AC47+Puchuncavi!AC47+Quillota!AC47+Quilpue!AC47+Quintero!AC47+'Villa Alemana'!AC47+'Viña del Mar'!AC47+Zapallar!AC47</f>
        <v>0</v>
      </c>
      <c r="AD49" s="206">
        <f>+Cabildo!AD47+'La Calera'!AD47+Concón!AD47+Hijuelas!AD47+'La Cruz'!AD47+'La Ligua'!AD47+Limache!AD47+Nogales!AD47+Olmue!AD47+Papudo!AD47+Petorca!AD47+Puchuncavi!AD47+Quillota!AD47+Quilpue!AD47+Quintero!AD47+'Villa Alemana'!AD47+'Viña del Mar'!AD47+Zapallar!AD47</f>
        <v>340095604</v>
      </c>
      <c r="AE49" s="206">
        <f>+Cabildo!AE47+'La Calera'!AE47+Concón!AE47+Hijuelas!AE47+'La Cruz'!AE47+'La Ligua'!AE47+Limache!AE47+Nogales!AE47+Olmue!AE47+Papudo!AE47+Petorca!AE47+Puchuncavi!AE47+Quillota!AE47+Quilpue!AE47+Quintero!AE47+'Villa Alemana'!AE47+'Viña del Mar'!AE47+Zapallar!AE47</f>
        <v>0</v>
      </c>
      <c r="AF49" s="221">
        <f>+Cabildo!AF47+'La Calera'!AF47+Concón!AF47+Hijuelas!AF47+'La Cruz'!AF47+'La Ligua'!AF47+Limache!AF47+Nogales!AF47+Olmue!AF47+Papudo!AF47+Petorca!AF47+Puchuncavi!AF47+Quillota!AF47+Quilpue!AF47+Quintero!AF47+'Villa Alemana'!AF47+'Viña del Mar'!AF47+Zapallar!AF47</f>
        <v>0</v>
      </c>
      <c r="AG49" s="664">
        <f t="shared" si="9"/>
        <v>1133652000</v>
      </c>
      <c r="AH49" s="431">
        <f t="shared" si="10"/>
        <v>0</v>
      </c>
      <c r="AK49" s="235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27"/>
      <c r="AW49" s="228">
        <f t="shared" ref="AW49:AW76" si="13">SUM(AK49:AV49)</f>
        <v>0</v>
      </c>
      <c r="AX49" s="431">
        <f t="shared" si="11"/>
        <v>1133652000</v>
      </c>
    </row>
    <row r="50" spans="1:50" ht="15">
      <c r="A50" s="18">
        <v>15</v>
      </c>
      <c r="B50" s="7" t="s">
        <v>82</v>
      </c>
      <c r="C50" s="147"/>
      <c r="D50" s="21">
        <f>+Cabildo!D48+'La Calera'!D48+Concón!D48+Hijuelas!D48+'La Cruz'!D48+'La Ligua'!D48+Limache!D48+Nogales!D48+Olmue!D48+Papudo!D48+Petorca!D48+Puchuncavi!D48+Quillota!D48+Quilpue!D48+Quintero!D48+'Villa Alemana'!D48+'Viña del Mar'!D48+Zapallar!D48</f>
        <v>499671040</v>
      </c>
      <c r="E50" s="142">
        <f>+D50*G33</f>
        <v>41639253.333333328</v>
      </c>
      <c r="F50" s="143">
        <f>+D50*G33</f>
        <v>41639253.333333328</v>
      </c>
      <c r="G50" s="160">
        <f>+D50*G33</f>
        <v>41639253.333333328</v>
      </c>
      <c r="H50" s="324">
        <f t="shared" si="8"/>
        <v>499671040</v>
      </c>
      <c r="I50" s="252">
        <f>+Cabildo!I48+'La Calera'!I48+Concón!I48+Hijuelas!I48+'La Cruz'!I48+'La Ligua'!I48+Limache!I48+Nogales!I48+Olmue!I48+Papudo!I48+Petorca!I48+Puchuncavi!I48+Quillota!I48+Quilpue!I48+Quintero!I48+'Villa Alemana'!I48+'Viña del Mar'!I48+Zapallar!I48</f>
        <v>0</v>
      </c>
      <c r="J50" s="206">
        <f>+Cabildo!J48+'La Calera'!J48+Concón!J48+Hijuelas!J48+'La Cruz'!J48+'La Ligua'!J48+Limache!J48+Nogales!J48+Olmue!J48+Papudo!J48+Petorca!J48+Puchuncavi!J48+Quillota!J48+Quilpue!J48+Quintero!J48+'Villa Alemana'!J48+'Viña del Mar'!J48+Zapallar!J48</f>
        <v>0</v>
      </c>
      <c r="K50" s="206">
        <f>+Cabildo!K48+'La Calera'!K48+Concón!K48+Hijuelas!K48+'La Cruz'!K48+'La Ligua'!K48+Limache!K48+Nogales!K48+Olmue!K48+Papudo!K48+Petorca!K48+Puchuncavi!K48+Quillota!K48+Quilpue!K48+Quintero!K48+'Villa Alemana'!K48+'Viña del Mar'!K48+Zapallar!K48</f>
        <v>119439280</v>
      </c>
      <c r="L50" s="206">
        <f>+Cabildo!L48+'La Calera'!L48+Concón!L48+Hijuelas!L48+'La Cruz'!L48+'La Ligua'!L48+Limache!L48+Nogales!L48+Olmue!L48+Papudo!L48+Petorca!L48+Puchuncavi!L48+Quillota!L48+Quilpue!L48+Quintero!L48+'Villa Alemana'!L48+'Viña del Mar'!L48+Zapallar!L48</f>
        <v>39813060</v>
      </c>
      <c r="M50" s="206">
        <f>+Cabildo!M48+'La Calera'!M48+Concón!M48+Hijuelas!M48+'La Cruz'!M48+'La Ligua'!M48+Limache!M48+Nogales!M48+Olmue!M48+Papudo!M48+Petorca!M48+Puchuncavi!M48+Quillota!M48+Quilpue!M48+Quintero!M48+'Villa Alemana'!M48+'Viña del Mar'!M48+Zapallar!M48</f>
        <v>39813085</v>
      </c>
      <c r="N50" s="206">
        <f>+Cabildo!N48+'La Calera'!N48+Concón!N48+Hijuelas!N48+'La Cruz'!N48+'La Ligua'!N48+Limache!N48+Nogales!N48+Olmue!N48+Papudo!N48+Petorca!N48+Puchuncavi!N48+Quillota!N48+Quilpue!N48+Quintero!N48+'Villa Alemana'!N48+'Viña del Mar'!N48+Zapallar!N48</f>
        <v>39813085</v>
      </c>
      <c r="O50" s="206">
        <f>+Cabildo!O48+'La Calera'!O48+Concón!O48+Hijuelas!O48+'La Cruz'!O48+'La Ligua'!O48+Limache!O48+Nogales!O48+Olmue!O48+Papudo!O48+Petorca!O48+Puchuncavi!O48+Quillota!O48+Quilpue!O48+Quintero!O48+'Villa Alemana'!O48+'Viña del Mar'!O48+Zapallar!O48</f>
        <v>39813085</v>
      </c>
      <c r="P50" s="206">
        <f>+Cabildo!P48+'La Calera'!P48+Concón!P48+Hijuelas!P48+'La Cruz'!P48+'La Ligua'!P48+Limache!P48+Nogales!P48+Olmue!P48+Papudo!P48+Petorca!P48+Puchuncavi!P48+Quillota!P48+Quilpue!P48+Quintero!P48+'Villa Alemana'!P48+'Viña del Mar'!P48+Zapallar!P48</f>
        <v>39813085</v>
      </c>
      <c r="Q50" s="206">
        <f>+Cabildo!Q48+'La Calera'!Q48+Concón!Q48+Hijuelas!Q48+'La Cruz'!Q48+'La Ligua'!Q48+Limache!Q48+Nogales!Q48+Olmue!Q48+Papudo!Q48+Petorca!Q48+Puchuncavi!Q48+Quillota!Q48+Quilpue!Q48+Quintero!Q48+'Villa Alemana'!Q48+'Viña del Mar'!Q48+Zapallar!Q48</f>
        <v>61727105</v>
      </c>
      <c r="R50" s="206">
        <f>+Cabildo!R48+'La Calera'!R48+Concón!R48+Hijuelas!R48+'La Cruz'!R48+'La Ligua'!R48+Limache!R48+Nogales!R48+Olmue!R48+Papudo!R48+Petorca!R48+Puchuncavi!R48+Quillota!R48+Quilpue!R48+Quintero!R48+'Villa Alemana'!R48+'Viña del Mar'!R48+Zapallar!R48</f>
        <v>39813085</v>
      </c>
      <c r="S50" s="678">
        <f>+Cabildo!S48+'La Calera'!S48+Concón!S48+Hijuelas!S48+'La Cruz'!S48+'La Ligua'!S48+Limache!S48+Nogales!S48+Olmue!S48+Papudo!S48+Petorca!S48+Puchuncavi!S48+Quillota!S48+Quilpue!S48+Quintero!S48+'Villa Alemana'!S48+'Viña del Mar'!S48+Zapallar!S48</f>
        <v>39813085</v>
      </c>
      <c r="T50" s="691">
        <f>+Cabildo!T48+'La Calera'!T48+Concón!T48+Hijuelas!T48+'La Cruz'!T48+'La Ligua'!T48+Limache!T48+Nogales!T48+Olmue!T48+Papudo!T48+Petorca!T48+Puchuncavi!T48+Quillota!T48+Quilpue!T48+Quintero!T48+'Villa Alemana'!T48+'Viña del Mar'!T48+Zapallar!T48</f>
        <v>39813085</v>
      </c>
      <c r="U50" s="235">
        <f>+Cabildo!U48+'La Calera'!U48+Concón!U48+Hijuelas!U48+'La Cruz'!U48+'La Ligua'!U48+Limache!U48+Nogales!U48+Olmue!U48+Papudo!U48+Petorca!U48+Puchuncavi!U48+Quillota!U48+Quilpue!U48+Quintero!U48+'Villa Alemana'!U48+'Viña del Mar'!U48+Zapallar!U48</f>
        <v>0</v>
      </c>
      <c r="V50" s="206">
        <f>+Cabildo!V48+'La Calera'!V48+Concón!V48+Hijuelas!V48+'La Cruz'!V48+'La Ligua'!V48+Limache!V48+Nogales!V48+Olmue!V48+Papudo!V48+Petorca!V48+Puchuncavi!V48+Quillota!V48+Quilpue!V48+Quintero!V48+'Villa Alemana'!V48+'Viña del Mar'!V48+Zapallar!V48</f>
        <v>0</v>
      </c>
      <c r="W50" s="206">
        <f>+Cabildo!W48+'La Calera'!W48+Concón!W48+Hijuelas!W48+'La Cruz'!W48+'La Ligua'!W48+Limache!W48+Nogales!W48+Olmue!W48+Papudo!W48+Petorca!W48+Puchuncavi!W48+Quillota!W48+Quilpue!W48+Quintero!W48+'Villa Alemana'!W48+'Viña del Mar'!W48+Zapallar!W48</f>
        <v>119439255</v>
      </c>
      <c r="X50" s="206">
        <f>+Cabildo!X48+'La Calera'!X48+Concón!X48+Hijuelas!X48+'La Cruz'!X48+'La Ligua'!X48+Limache!X48+Nogales!X48+Olmue!X48+Papudo!X48+Petorca!X48+Puchuncavi!X48+Quillota!X48+Quilpue!X48+Quintero!X48+'Villa Alemana'!X48+'Viña del Mar'!X48+Zapallar!X48</f>
        <v>39813060</v>
      </c>
      <c r="Y50" s="206">
        <f>+Cabildo!Y48+'La Calera'!Y48+Concón!Y48+Hijuelas!Y48+'La Cruz'!Y48+'La Ligua'!Y48+Limache!Y48+Nogales!Y48+Olmue!Y48+Papudo!Y48+Petorca!Y48+Puchuncavi!Y48+Quillota!Y48+Quilpue!Y48+Quintero!Y48+'Villa Alemana'!Y48+'Viña del Mar'!Y48+Zapallar!Y48</f>
        <v>39813085</v>
      </c>
      <c r="Z50" s="206">
        <f>+Cabildo!Z48+'La Calera'!Z48+Concón!Z48+Hijuelas!Z48+'La Cruz'!Z48+'La Ligua'!Z48+Limache!Z48+Nogales!Z48+Olmue!Z48+Papudo!Z48+Petorca!Z48+Puchuncavi!Z48+Quillota!Z48+Quilpue!Z48+Quintero!Z48+'Villa Alemana'!Z48+'Viña del Mar'!Z48+Zapallar!Z48</f>
        <v>2234525</v>
      </c>
      <c r="AA50" s="206">
        <f>+Cabildo!AA48+'La Calera'!AA48+Concón!AA48+Hijuelas!AA48+'La Cruz'!AA48+'La Ligua'!AA48+Limache!AA48+Nogales!AA48+Olmue!AA48+Papudo!AA48+Petorca!AA48+Puchuncavi!AA48+Quillota!AA48+Quilpue!AA48+Quintero!AA48+'Villa Alemana'!AA48+'Viña del Mar'!AA48+Zapallar!AA48</f>
        <v>22749027</v>
      </c>
      <c r="AB50" s="206">
        <f>+Cabildo!AB48+'La Calera'!AB48+Concón!AB48+Hijuelas!AB48+'La Cruz'!AB48+'La Ligua'!AB48+Limache!AB48+Nogales!AB48+Olmue!AB48+Papudo!AB48+Petorca!AB48+Puchuncavi!AB48+Quillota!AB48+Quilpue!AB48+Quintero!AB48+'Villa Alemana'!AB48+'Viña del Mar'!AB48+Zapallar!AB48</f>
        <v>63174647</v>
      </c>
      <c r="AC50" s="206">
        <f>+Cabildo!AC48+'La Calera'!AC48+Concón!AC48+Hijuelas!AC48+'La Cruz'!AC48+'La Ligua'!AC48+Limache!AC48+Nogales!AC48+Olmue!AC48+Papudo!AC48+Petorca!AC48+Puchuncavi!AC48+Quillota!AC48+Quilpue!AC48+Quintero!AC48+'Villa Alemana'!AC48+'Viña del Mar'!AC48+Zapallar!AC48</f>
        <v>74115649</v>
      </c>
      <c r="AD50" s="206">
        <f>+Cabildo!AD48+'La Calera'!AD48+Concón!AD48+Hijuelas!AD48+'La Cruz'!AD48+'La Ligua'!AD48+Limache!AD48+Nogales!AD48+Olmue!AD48+Papudo!AD48+Petorca!AD48+Puchuncavi!AD48+Quillota!AD48+Quilpue!AD48+Quintero!AD48+'Villa Alemana'!AD48+'Viña del Mar'!AD48+Zapallar!AD48</f>
        <v>37578560</v>
      </c>
      <c r="AE50" s="206">
        <f>+Cabildo!AE48+'La Calera'!AE48+Concón!AE48+Hijuelas!AE48+'La Cruz'!AE48+'La Ligua'!AE48+Limache!AE48+Nogales!AE48+Olmue!AE48+Papudo!AE48+Petorca!AE48+Puchuncavi!AE48+Quillota!AE48+Quilpue!AE48+Quintero!AE48+'Villa Alemana'!AE48+'Viña del Mar'!AE48+Zapallar!AE48</f>
        <v>37578560</v>
      </c>
      <c r="AF50" s="221">
        <f>+Cabildo!AF48+'La Calera'!AF48+Concón!AF48+Hijuelas!AF48+'La Cruz'!AF48+'La Ligua'!AF48+Limache!AF48+Nogales!AF48+Olmue!AF48+Papudo!AF48+Petorca!AF48+Puchuncavi!AF48+Quillota!AF48+Quilpue!AF48+Quintero!AF48+'Villa Alemana'!AF48+'Viña del Mar'!AF48+Zapallar!AF48</f>
        <v>31281056</v>
      </c>
      <c r="AG50" s="664">
        <f t="shared" si="9"/>
        <v>467777424</v>
      </c>
      <c r="AH50" s="431">
        <f t="shared" si="10"/>
        <v>31893616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3"/>
        <v>0</v>
      </c>
      <c r="AX50" s="431">
        <f t="shared" si="11"/>
        <v>467777424</v>
      </c>
    </row>
    <row r="51" spans="1:50" ht="15">
      <c r="A51" s="18">
        <v>16</v>
      </c>
      <c r="B51" s="7" t="s">
        <v>83</v>
      </c>
      <c r="C51" s="147"/>
      <c r="D51" s="21">
        <f>+Cabildo!D49+'La Calera'!D49+Concón!D49+Hijuelas!D49+'La Cruz'!D49+'La Ligua'!D49+Limache!D49+Nogales!D49+Olmue!D49+Papudo!D49+Petorca!D49+Puchuncavi!D49+Quillota!D49+Quilpue!D49+Quintero!D49+'Villa Alemana'!D49+'Viña del Mar'!D49+Zapallar!D49</f>
        <v>393570000</v>
      </c>
      <c r="E51" s="142">
        <f>+D51*E33</f>
        <v>275499000</v>
      </c>
      <c r="F51" s="143">
        <f>+D51*F33</f>
        <v>118071000</v>
      </c>
      <c r="G51" s="160"/>
      <c r="H51" s="324">
        <f t="shared" si="8"/>
        <v>393570000.19999993</v>
      </c>
      <c r="I51" s="252">
        <f>+Cabildo!I49+'La Calera'!I49+Concón!I49+Hijuelas!I49+'La Cruz'!I49+'La Ligua'!I49+Limache!I49+Nogales!I49+Olmue!I49+Papudo!I49+Petorca!I49+Puchuncavi!I49+Quillota!I49+Quilpue!I49+Quintero!I49+'Villa Alemana'!I49+'Viña del Mar'!I49+Zapallar!I49</f>
        <v>0</v>
      </c>
      <c r="J51" s="206">
        <f>+Cabildo!J49+'La Calera'!J49+Concón!J49+Hijuelas!J49+'La Cruz'!J49+'La Ligua'!J49+Limache!J49+Nogales!J49+Olmue!J49+Papudo!J49+Petorca!J49+Puchuncavi!J49+Quillota!J49+Quilpue!J49+Quintero!J49+'Villa Alemana'!J49+'Viña del Mar'!J49+Zapallar!J49</f>
        <v>0</v>
      </c>
      <c r="K51" s="206">
        <f>+Cabildo!K49+'La Calera'!K49+Concón!K49+Hijuelas!K49+'La Cruz'!K49+'La Ligua'!K49+Limache!K49+Nogales!K49+Olmue!K49+Papudo!K49+Petorca!K49+Puchuncavi!K49+Quillota!K49+Quilpue!K49+Quintero!K49+'Villa Alemana'!K49+'Viña del Mar'!K49+Zapallar!K49</f>
        <v>232952421.19999996</v>
      </c>
      <c r="L51" s="206">
        <f>+Cabildo!L49+'La Calera'!L49+Concón!L49+Hijuelas!L49+'La Cruz'!L49+'La Ligua'!L49+Limache!L49+Nogales!L49+Olmue!L49+Papudo!L49+Petorca!L49+Puchuncavi!L49+Quillota!L49+Quilpue!L49+Quintero!L49+'Villa Alemana'!L49+'Viña del Mar'!L49+Zapallar!L49</f>
        <v>42546606</v>
      </c>
      <c r="M51" s="206">
        <f>+Cabildo!M49+'La Calera'!M49+Concón!M49+Hijuelas!M49+'La Cruz'!M49+'La Ligua'!M49+Limache!M49+Nogales!M49+Olmue!M49+Papudo!M49+Petorca!M49+Puchuncavi!M49+Quillota!M49+Quilpue!M49+Quintero!M49+'Villa Alemana'!M49+'Viña del Mar'!M49+Zapallar!M49</f>
        <v>0</v>
      </c>
      <c r="N51" s="206">
        <f>+Cabildo!N49+'La Calera'!N49+Concón!N49+Hijuelas!N49+'La Cruz'!N49+'La Ligua'!N49+Limache!N49+Nogales!N49+Olmue!N49+Papudo!N49+Petorca!N49+Puchuncavi!N49+Quillota!N49+Quilpue!N49+Quintero!N49+'Villa Alemana'!N49+'Viña del Mar'!N49+Zapallar!N49</f>
        <v>0</v>
      </c>
      <c r="O51" s="206">
        <f>+Cabildo!O49+'La Calera'!O49+Concón!O49+Hijuelas!O49+'La Cruz'!O49+'La Ligua'!O49+Limache!O49+Nogales!O49+Olmue!O49+Papudo!O49+Petorca!O49+Puchuncavi!O49+Quillota!O49+Quilpue!O49+Quintero!O49+'Villa Alemana'!O49+'Viña del Mar'!O49+Zapallar!O49</f>
        <v>0</v>
      </c>
      <c r="P51" s="206">
        <f>+Cabildo!P49+'La Calera'!P49+Concón!P49+Hijuelas!P49+'La Cruz'!P49+'La Ligua'!P49+Limache!P49+Nogales!P49+Olmue!P49+Papudo!P49+Petorca!P49+Puchuncavi!P49+Quillota!P49+Quilpue!P49+Quintero!P49+'Villa Alemana'!P49+'Viña del Mar'!P49+Zapallar!P49</f>
        <v>0</v>
      </c>
      <c r="Q51" s="206">
        <f>+Cabildo!Q49+'La Calera'!Q49+Concón!Q49+Hijuelas!Q49+'La Cruz'!Q49+'La Ligua'!Q49+Limache!Q49+Nogales!Q49+Olmue!Q49+Papudo!Q49+Petorca!Q49+Puchuncavi!Q49+Quillota!Q49+Quilpue!Q49+Quintero!Q49+'Villa Alemana'!Q49+'Viña del Mar'!Q49+Zapallar!Q49</f>
        <v>0</v>
      </c>
      <c r="R51" s="206">
        <f>+Cabildo!R49+'La Calera'!R49+Concón!R49+Hijuelas!R49+'La Cruz'!R49+'La Ligua'!R49+Limache!R49+Nogales!R49+Olmue!R49+Papudo!R49+Petorca!R49+Puchuncavi!R49+Quillota!R49+Quilpue!R49+Quintero!R49+'Villa Alemana'!R49+'Viña del Mar'!R49+Zapallar!R49</f>
        <v>118070973</v>
      </c>
      <c r="S51" s="206">
        <f>+Cabildo!S49+'La Calera'!S49+Concón!S49+Hijuelas!S49+'La Cruz'!S49+'La Ligua'!S49+Limache!S49+Nogales!S49+Olmue!S49+Papudo!S49+Petorca!S49+Puchuncavi!S49+Quillota!S49+Quilpue!S49+Quintero!S49+'Villa Alemana'!S49+'Viña del Mar'!S49+Zapallar!S49</f>
        <v>0</v>
      </c>
      <c r="T51" s="227">
        <f>+Cabildo!T49+'La Calera'!T49+Concón!T49+Hijuelas!T49+'La Cruz'!T49+'La Ligua'!T49+Limache!T49+Nogales!T49+Olmue!T49+Papudo!T49+Petorca!T49+Puchuncavi!T49+Quillota!T49+Quilpue!T49+Quintero!T49+'Villa Alemana'!T49+'Viña del Mar'!T49+Zapallar!T49</f>
        <v>0</v>
      </c>
      <c r="U51" s="235">
        <f>+Cabildo!U49+'La Calera'!U49+Concón!U49+Hijuelas!U49+'La Cruz'!U49+'La Ligua'!U49+Limache!U49+Nogales!U49+Olmue!U49+Papudo!U49+Petorca!U49+Puchuncavi!U49+Quillota!U49+Quilpue!U49+Quintero!U49+'Villa Alemana'!U49+'Viña del Mar'!U49+Zapallar!U49</f>
        <v>0</v>
      </c>
      <c r="V51" s="206">
        <f>+Cabildo!V49+'La Calera'!V49+Concón!V49+Hijuelas!V49+'La Cruz'!V49+'La Ligua'!V49+Limache!V49+Nogales!V49+Olmue!V49+Papudo!V49+Petorca!V49+Puchuncavi!V49+Quillota!V49+Quilpue!V49+Quintero!V49+'Villa Alemana'!V49+'Viña del Mar'!V49+Zapallar!V49</f>
        <v>0</v>
      </c>
      <c r="W51" s="206">
        <f>+Cabildo!W49+'La Calera'!W49+Concón!W49+Hijuelas!W49+'La Cruz'!W49+'La Ligua'!W49+Limache!W49+Nogales!W49+Olmue!W49+Papudo!W49+Petorca!W49+Puchuncavi!W49+Quillota!W49+Quilpue!W49+Quintero!W49+'Villa Alemana'!W49+'Viña del Mar'!W49+Zapallar!W49</f>
        <v>232952424</v>
      </c>
      <c r="X51" s="206">
        <f>+Cabildo!X49+'La Calera'!X49+Concón!X49+Hijuelas!X49+'La Cruz'!X49+'La Ligua'!X49+Limache!X49+Nogales!X49+Olmue!X49+Papudo!X49+Petorca!X49+Puchuncavi!X49+Quillota!X49+Quilpue!X49+Quintero!X49+'Villa Alemana'!X49+'Viña del Mar'!X49+Zapallar!X49</f>
        <v>42546606</v>
      </c>
      <c r="Y51" s="206">
        <f>+Cabildo!Y49+'La Calera'!Y49+Concón!Y49+Hijuelas!Y49+'La Cruz'!Y49+'La Ligua'!Y49+Limache!Y49+Nogales!Y49+Olmue!Y49+Papudo!Y49+Petorca!Y49+Puchuncavi!Y49+Quillota!Y49+Quilpue!Y49+Quintero!Y49+'Villa Alemana'!Y49+'Viña del Mar'!Y49+Zapallar!Y49</f>
        <v>0</v>
      </c>
      <c r="Z51" s="206">
        <f>+Cabildo!Z49+'La Calera'!Z49+Concón!Z49+Hijuelas!Z49+'La Cruz'!Z49+'La Ligua'!Z49+Limache!Z49+Nogales!Z49+Olmue!Z49+Papudo!Z49+Petorca!Z49+Puchuncavi!Z49+Quillota!Z49+Quilpue!Z49+Quintero!Z49+'Villa Alemana'!Z49+'Viña del Mar'!Z49+Zapallar!Z49</f>
        <v>0</v>
      </c>
      <c r="AA51" s="206">
        <f>+Cabildo!AA49+'La Calera'!AA49+Concón!AA49+Hijuelas!AA49+'La Cruz'!AA49+'La Ligua'!AA49+Limache!AA49+Nogales!AA49+Olmue!AA49+Papudo!AA49+Petorca!AA49+Puchuncavi!AA49+Quillota!AA49+Quilpue!AA49+Quintero!AA49+'Villa Alemana'!AA49+'Viña del Mar'!AA49+Zapallar!AA49</f>
        <v>0</v>
      </c>
      <c r="AB51" s="206">
        <f>+Cabildo!AB49+'La Calera'!AB49+Concón!AB49+Hijuelas!AB49+'La Cruz'!AB49+'La Ligua'!AB49+Limache!AB49+Nogales!AB49+Olmue!AB49+Papudo!AB49+Petorca!AB49+Puchuncavi!AB49+Quillota!AB49+Quilpue!AB49+Quintero!AB49+'Villa Alemana'!AB49+'Viña del Mar'!AB49+Zapallar!AB49</f>
        <v>0</v>
      </c>
      <c r="AC51" s="206">
        <f>+Cabildo!AC49+'La Calera'!AC49+Concón!AC49+Hijuelas!AC49+'La Cruz'!AC49+'La Ligua'!AC49+Limache!AC49+Nogales!AC49+Olmue!AC49+Papudo!AC49+Petorca!AC49+Puchuncavi!AC49+Quillota!AC49+Quilpue!AC49+Quintero!AC49+'Villa Alemana'!AC49+'Viña del Mar'!AC49+Zapallar!AC49</f>
        <v>0</v>
      </c>
      <c r="AD51" s="206">
        <f>+Cabildo!AD49+'La Calera'!AD49+Concón!AD49+Hijuelas!AD49+'La Cruz'!AD49+'La Ligua'!AD49+Limache!AD49+Nogales!AD49+Olmue!AD49+Papudo!AD49+Petorca!AD49+Puchuncavi!AD49+Quillota!AD49+Quilpue!AD49+Quintero!AD49+'Villa Alemana'!AD49+'Viña del Mar'!AD49+Zapallar!AD49</f>
        <v>0</v>
      </c>
      <c r="AE51" s="206">
        <f>+Cabildo!AE49+'La Calera'!AE49+Concón!AE49+Hijuelas!AE49+'La Cruz'!AE49+'La Ligua'!AE49+Limache!AE49+Nogales!AE49+Olmue!AE49+Papudo!AE49+Petorca!AE49+Puchuncavi!AE49+Quillota!AE49+Quilpue!AE49+Quintero!AE49+'Villa Alemana'!AE49+'Viña del Mar'!AE49+Zapallar!AE49</f>
        <v>108953842</v>
      </c>
      <c r="AF51" s="221">
        <f>+Cabildo!AF49+'La Calera'!AF49+Concón!AF49+Hijuelas!AF49+'La Cruz'!AF49+'La Ligua'!AF49+Limache!AF49+Nogales!AF49+Olmue!AF49+Papudo!AF49+Petorca!AF49+Puchuncavi!AF49+Quillota!AF49+Quilpue!AF49+Quintero!AF49+'Villa Alemana'!AF49+'Viña del Mar'!AF49+Zapallar!AF49</f>
        <v>0</v>
      </c>
      <c r="AG51" s="664">
        <f t="shared" si="9"/>
        <v>384452872</v>
      </c>
      <c r="AH51" s="431">
        <f t="shared" si="10"/>
        <v>9117128.1999999285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3"/>
        <v>0</v>
      </c>
      <c r="AX51" s="431">
        <f t="shared" si="11"/>
        <v>384452872</v>
      </c>
    </row>
    <row r="52" spans="1:50" ht="15">
      <c r="A52" s="18">
        <v>17</v>
      </c>
      <c r="B52" s="7" t="s">
        <v>95</v>
      </c>
      <c r="C52" s="147"/>
      <c r="D52" s="21">
        <f>+Cabildo!D50+'La Calera'!D50+Concón!D50+Hijuelas!D50+'La Cruz'!D50+'La Ligua'!D50+Limache!D50+Nogales!D50+Olmue!D50+Papudo!D50+Petorca!D50+Puchuncavi!D50+Quillota!D50+Quilpue!D50+Quintero!D50+'Villa Alemana'!D50+'Viña del Mar'!D50+Zapallar!D50</f>
        <v>94519296</v>
      </c>
      <c r="E52" s="142">
        <f>+D52*$E$33</f>
        <v>66163507.199999996</v>
      </c>
      <c r="F52" s="143">
        <f>+D52*$F$33</f>
        <v>28355788.800000001</v>
      </c>
      <c r="G52" s="160"/>
      <c r="H52" s="324">
        <f t="shared" si="8"/>
        <v>94519296</v>
      </c>
      <c r="I52" s="252">
        <f>+Cabildo!I50+'La Calera'!I50+Concón!I50+Hijuelas!I50+'La Cruz'!I50+'La Ligua'!I50+Limache!I50+Nogales!I50+Olmue!I50+Papudo!I50+Petorca!I50+Puchuncavi!I50+Quillota!I50+Quilpue!I50+Quintero!I50+'Villa Alemana'!I50+'Viña del Mar'!I50+Zapallar!I50</f>
        <v>0</v>
      </c>
      <c r="J52" s="206">
        <f>+Cabildo!J50+'La Calera'!J50+Concón!J50+Hijuelas!J50+'La Cruz'!J50+'La Ligua'!J50+Limache!J50+Nogales!J50+Olmue!J50+Papudo!J50+Petorca!J50+Puchuncavi!J50+Quillota!J50+Quilpue!J50+Quintero!J50+'Villa Alemana'!J50+'Viña del Mar'!J50+Zapallar!J50</f>
        <v>0</v>
      </c>
      <c r="K52" s="206">
        <f>+Cabildo!K50+'La Calera'!K50+Concón!K50+Hijuelas!K50+'La Cruz'!K50+'La Ligua'!K50+Limache!K50+Nogales!K50+Olmue!K50+Papudo!K50+Petorca!K50+Puchuncavi!K50+Quillota!K50+Quilpue!K50+Quintero!K50+'Villa Alemana'!K50+'Viña del Mar'!K50+Zapallar!K50</f>
        <v>65295894.299999997</v>
      </c>
      <c r="L52" s="206">
        <f>+Cabildo!L50+'La Calera'!L50+Concón!L50+Hijuelas!L50+'La Cruz'!L50+'La Ligua'!L50+Limache!L50+Nogales!L50+Olmue!L50+Papudo!L50+Petorca!L50+Puchuncavi!L50+Quillota!L50+Quilpue!L50+Quintero!L50+'Villa Alemana'!L50+'Viña del Mar'!L50+Zapallar!L50</f>
        <v>0</v>
      </c>
      <c r="M52" s="206">
        <f>+Cabildo!M50+'La Calera'!M50+Concón!M50+Hijuelas!M50+'La Cruz'!M50+'La Ligua'!M50+Limache!M50+Nogales!M50+Olmue!M50+Papudo!M50+Petorca!M50+Puchuncavi!M50+Quillota!M50+Quilpue!M50+Quintero!M50+'Villa Alemana'!M50+'Viña del Mar'!M50+Zapallar!M50</f>
        <v>0</v>
      </c>
      <c r="N52" s="206">
        <f>+Cabildo!N50+'La Calera'!N50+Concón!N50+Hijuelas!N50+'La Cruz'!N50+'La Ligua'!N50+Limache!N50+Nogales!N50+Olmue!N50+Papudo!N50+Petorca!N50+Puchuncavi!N50+Quillota!N50+Quilpue!N50+Quintero!N50+'Villa Alemana'!N50+'Viña del Mar'!N50+Zapallar!N50</f>
        <v>0</v>
      </c>
      <c r="O52" s="206">
        <f>+Cabildo!O50+'La Calera'!O50+Concón!O50+Hijuelas!O50+'La Cruz'!O50+'La Ligua'!O50+Limache!O50+Nogales!O50+Olmue!O50+Papudo!O50+Petorca!O50+Puchuncavi!O50+Quillota!O50+Quilpue!O50+Quintero!O50+'Villa Alemana'!O50+'Viña del Mar'!O50+Zapallar!O50</f>
        <v>867613.05210409255</v>
      </c>
      <c r="P52" s="206">
        <f>+Cabildo!P50+'La Calera'!P50+Concón!P50+Hijuelas!P50+'La Cruz'!P50+'La Ligua'!P50+Limache!P50+Nogales!P50+Olmue!P50+Papudo!P50+Petorca!P50+Puchuncavi!P50+Quillota!P50+Quilpue!P50+Quintero!P50+'Villa Alemana'!P50+'Viña del Mar'!P50+Zapallar!P50</f>
        <v>0</v>
      </c>
      <c r="Q52" s="206">
        <f>+Cabildo!Q50+'La Calera'!Q50+Concón!Q50+Hijuelas!Q50+'La Cruz'!Q50+'La Ligua'!Q50+Limache!Q50+Nogales!Q50+Olmue!Q50+Papudo!Q50+Petorca!Q50+Puchuncavi!Q50+Quillota!Q50+Quilpue!Q50+Quintero!Q50+'Villa Alemana'!Q50+'Viña del Mar'!Q50+Zapallar!Q50</f>
        <v>0</v>
      </c>
      <c r="R52" s="662">
        <f>+Cabildo!R50+'La Calera'!R50+Concón!R50+Hijuelas!R50+'La Cruz'!R50+'La Ligua'!R50+Limache!R50+Nogales!R50+Olmue!R50+Papudo!R50+Petorca!R50+Puchuncavi!R50+Quillota!R50+Quilpue!R50+Quintero!R50+'Villa Alemana'!R50+'Viña del Mar'!R50+Zapallar!R50</f>
        <v>19755151.727544259</v>
      </c>
      <c r="S52" s="662">
        <f>+Cabildo!S50+'La Calera'!S50+Concón!S50+Hijuelas!S50+'La Cruz'!S50+'La Ligua'!S50+Limache!S50+Nogales!S50+Olmue!S50+Papudo!S50+Petorca!S50+Puchuncavi!S50+Quillota!S50+Quilpue!S50+Quintero!S50+'Villa Alemana'!S50+'Viña del Mar'!S50+Zapallar!S50</f>
        <v>8600636.9203516506</v>
      </c>
      <c r="T52" s="227">
        <f>+Cabildo!T50+'La Calera'!T50+Concón!T50+Hijuelas!T50+'La Cruz'!T50+'La Ligua'!T50+Limache!T50+Nogales!T50+Olmue!T50+Papudo!T50+Petorca!T50+Puchuncavi!T50+Quillota!T50+Quilpue!T50+Quintero!T50+'Villa Alemana'!T50+'Viña del Mar'!T50+Zapallar!T50</f>
        <v>0</v>
      </c>
      <c r="U52" s="235">
        <f>+Cabildo!U50+'La Calera'!U50+Concón!U50+Hijuelas!U50+'La Cruz'!U50+'La Ligua'!U50+Limache!U50+Nogales!U50+Olmue!U50+Papudo!U50+Petorca!U50+Puchuncavi!U50+Quillota!U50+Quilpue!U50+Quintero!U50+'Villa Alemana'!U50+'Viña del Mar'!U50+Zapallar!U50</f>
        <v>0</v>
      </c>
      <c r="V52" s="206">
        <f>+Cabildo!V50+'La Calera'!V50+Concón!V50+Hijuelas!V50+'La Cruz'!V50+'La Ligua'!V50+Limache!V50+Nogales!V50+Olmue!V50+Papudo!V50+Petorca!V50+Puchuncavi!V50+Quillota!V50+Quilpue!V50+Quintero!V50+'Villa Alemana'!V50+'Viña del Mar'!V50+Zapallar!V50</f>
        <v>0</v>
      </c>
      <c r="W52" s="206">
        <f>+Cabildo!W50+'La Calera'!W50+Concón!W50+Hijuelas!W50+'La Cruz'!W50+'La Ligua'!W50+Limache!W50+Nogales!W50+Olmue!W50+Papudo!W50+Petorca!W50+Puchuncavi!W50+Quillota!W50+Quilpue!W50+Quintero!W50+'Villa Alemana'!W50+'Viña del Mar'!W50+Zapallar!W50</f>
        <v>65295894.299999997</v>
      </c>
      <c r="X52" s="206">
        <f>+Cabildo!X50+'La Calera'!X50+Concón!X50+Hijuelas!X50+'La Cruz'!X50+'La Ligua'!X50+Limache!X50+Nogales!X50+Olmue!X50+Papudo!X50+Petorca!X50+Puchuncavi!X50+Quillota!X50+Quilpue!X50+Quintero!X50+'Villa Alemana'!X50+'Viña del Mar'!X50+Zapallar!X50</f>
        <v>0</v>
      </c>
      <c r="Y52" s="206">
        <f>+Cabildo!Y50+'La Calera'!Y50+Concón!Y50+Hijuelas!Y50+'La Cruz'!Y50+'La Ligua'!Y50+Limache!Y50+Nogales!Y50+Olmue!Y50+Papudo!Y50+Petorca!Y50+Puchuncavi!Y50+Quillota!Y50+Quilpue!Y50+Quintero!Y50+'Villa Alemana'!Y50+'Viña del Mar'!Y50+Zapallar!Y50</f>
        <v>0</v>
      </c>
      <c r="Z52" s="206">
        <f>+Cabildo!Z50+'La Calera'!Z50+Concón!Z50+Hijuelas!Z50+'La Cruz'!Z50+'La Ligua'!Z50+Limache!Z50+Nogales!Z50+Olmue!Z50+Papudo!Z50+Petorca!Z50+Puchuncavi!Z50+Quillota!Z50+Quilpue!Z50+Quintero!Z50+'Villa Alemana'!Z50+'Viña del Mar'!Z50+Zapallar!Z50</f>
        <v>0</v>
      </c>
      <c r="AA52" s="206">
        <f>+Cabildo!AA50+'La Calera'!AA50+Concón!AA50+Hijuelas!AA50+'La Cruz'!AA50+'La Ligua'!AA50+Limache!AA50+Nogales!AA50+Olmue!AA50+Papudo!AA50+Petorca!AA50+Puchuncavi!AA50+Quillota!AA50+Quilpue!AA50+Quintero!AA50+'Villa Alemana'!AA50+'Viña del Mar'!AA50+Zapallar!AA50</f>
        <v>0</v>
      </c>
      <c r="AB52" s="206">
        <f>+Cabildo!AB50+'La Calera'!AB50+Concón!AB50+Hijuelas!AB50+'La Cruz'!AB50+'La Ligua'!AB50+Limache!AB50+Nogales!AB50+Olmue!AB50+Papudo!AB50+Petorca!AB50+Puchuncavi!AB50+Quillota!AB50+Quilpue!AB50+Quintero!AB50+'Villa Alemana'!AB50+'Viña del Mar'!AB50+Zapallar!AB50</f>
        <v>0</v>
      </c>
      <c r="AC52" s="206">
        <f>+Cabildo!AC50+'La Calera'!AC50+Concón!AC50+Hijuelas!AC50+'La Cruz'!AC50+'La Ligua'!AC50+Limache!AC50+Nogales!AC50+Olmue!AC50+Papudo!AC50+Petorca!AC50+Puchuncavi!AC50+Quillota!AC50+Quilpue!AC50+Quintero!AC50+'Villa Alemana'!AC50+'Viña del Mar'!AC50+Zapallar!AC50</f>
        <v>0</v>
      </c>
      <c r="AD52" s="206">
        <f>+Cabildo!AD50+'La Calera'!AD50+Concón!AD50+Hijuelas!AD50+'La Cruz'!AD50+'La Ligua'!AD50+Limache!AD50+Nogales!AD50+Olmue!AD50+Papudo!AD50+Petorca!AD50+Puchuncavi!AD50+Quillota!AD50+Quilpue!AD50+Quintero!AD50+'Villa Alemana'!AD50+'Viña del Mar'!AD50+Zapallar!AD50</f>
        <v>15591205.063928332</v>
      </c>
      <c r="AE52" s="206">
        <f>+Cabildo!AE50+'La Calera'!AE50+Concón!AE50+Hijuelas!AE50+'La Cruz'!AE50+'La Ligua'!AE50+Limache!AE50+Nogales!AE50+Olmue!AE50+Papudo!AE50+Petorca!AE50+Puchuncavi!AE50+Quillota!AE50+Quilpue!AE50+Quintero!AE50+'Villa Alemana'!AE50+'Viña del Mar'!AE50+Zapallar!AE50</f>
        <v>11261914.577888567</v>
      </c>
      <c r="AF52" s="221">
        <f>+Cabildo!AF50+'La Calera'!AF50+Concón!AF50+Hijuelas!AF50+'La Cruz'!AF50+'La Ligua'!AF50+Limache!AF50+Nogales!AF50+Olmue!AF50+Papudo!AF50+Petorca!AF50+Puchuncavi!AF50+Quillota!AF50+Quilpue!AF50+Quintero!AF50+'Villa Alemana'!AF50+'Viña del Mar'!AF50+Zapallar!AF50</f>
        <v>0</v>
      </c>
      <c r="AG52" s="664">
        <f t="shared" si="9"/>
        <v>92149013.941816896</v>
      </c>
      <c r="AH52" s="431">
        <f t="shared" si="10"/>
        <v>2370282.0581831038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3"/>
        <v>0</v>
      </c>
      <c r="AX52" s="431">
        <f t="shared" si="11"/>
        <v>92149013.941816896</v>
      </c>
    </row>
    <row r="53" spans="1:50" ht="15">
      <c r="A53" s="18">
        <v>18</v>
      </c>
      <c r="B53" s="7" t="s">
        <v>96</v>
      </c>
      <c r="C53" s="147"/>
      <c r="D53" s="21">
        <f>+Cabildo!D51+'La Calera'!D51+Concón!D51+Hijuelas!D51+'La Cruz'!D51+'La Ligua'!D51+Limache!D51+Nogales!D51+Olmue!D51+Papudo!D51+Petorca!D51+Puchuncavi!D51+Quillota!D51+Quilpue!D51+Quintero!D51+'Villa Alemana'!D51+'Viña del Mar'!D51+Zapallar!D51</f>
        <v>993704005</v>
      </c>
      <c r="E53" s="142">
        <f>+D53*$E$33</f>
        <v>695592803.5</v>
      </c>
      <c r="F53" s="143">
        <f>+D53*$F$33</f>
        <v>298111201.5</v>
      </c>
      <c r="G53" s="160"/>
      <c r="H53" s="324">
        <f t="shared" si="8"/>
        <v>995687445.63527131</v>
      </c>
      <c r="I53" s="252">
        <f>+Cabildo!I51+'La Calera'!I51+Concón!I51+Hijuelas!I51+'La Cruz'!I51+'La Ligua'!I51+Limache!I51+Nogales!I51+Olmue!I51+Papudo!I51+Petorca!I51+Puchuncavi!I51+Quillota!I51+Quilpue!I51+Quintero!I51+'Villa Alemana'!I51+'Viña del Mar'!I51+Zapallar!I51</f>
        <v>0</v>
      </c>
      <c r="J53" s="206">
        <f>+Cabildo!J51+'La Calera'!J51+Concón!J51+Hijuelas!J51+'La Cruz'!J51+'La Ligua'!J51+Limache!J51+Nogales!J51+Olmue!J51+Papudo!J51+Petorca!J51+Puchuncavi!J51+Quillota!J51+Quilpue!J51+Quintero!J51+'Villa Alemana'!J51+'Viña del Mar'!J51+Zapallar!J51</f>
        <v>0</v>
      </c>
      <c r="K53" s="206">
        <f>+Cabildo!K51+'La Calera'!K51+Concón!K51+Hijuelas!K51+'La Cruz'!K51+'La Ligua'!K51+Limache!K51+Nogales!K51+Olmue!K51+Papudo!K51+Petorca!K51+Puchuncavi!K51+Quillota!K51+Quilpue!K51+Quintero!K51+'Villa Alemana'!K51+'Viña del Mar'!K51+Zapallar!K51</f>
        <v>689519512.5</v>
      </c>
      <c r="L53" s="206">
        <f>+Cabildo!L51+'La Calera'!L51+Concón!L51+Hijuelas!L51+'La Cruz'!L51+'La Ligua'!L51+Limache!L51+Nogales!L51+Olmue!L51+Papudo!L51+Petorca!L51+Puchuncavi!L51+Quillota!L51+Quilpue!L51+Quintero!L51+'Villa Alemana'!L51+'Viña del Mar'!L51+Zapallar!L51</f>
        <v>0</v>
      </c>
      <c r="M53" s="206">
        <f>+Cabildo!M51+'La Calera'!M51+Concón!M51+Hijuelas!M51+'La Cruz'!M51+'La Ligua'!M51+Limache!M51+Nogales!M51+Olmue!M51+Papudo!M51+Petorca!M51+Puchuncavi!M51+Quillota!M51+Quilpue!M51+Quintero!M51+'Villa Alemana'!M51+'Viña del Mar'!M51+Zapallar!M51</f>
        <v>0</v>
      </c>
      <c r="N53" s="206">
        <f>+Cabildo!N51+'La Calera'!N51+Concón!N51+Hijuelas!N51+'La Cruz'!N51+'La Ligua'!N51+Limache!N51+Nogales!N51+Olmue!N51+Papudo!N51+Petorca!N51+Puchuncavi!N51+Quillota!N51+Quilpue!N51+Quintero!N51+'Villa Alemana'!N51+'Viña del Mar'!N51+Zapallar!N51</f>
        <v>0</v>
      </c>
      <c r="O53" s="560">
        <f>+Cabildo!O51+'La Calera'!O51+Concón!O51+Hijuelas!D31+'La Cruz'!O51+'La Ligua'!O51+Limache!O51+Nogales!O51+Olmue!O51+Papudo!O51+Petorca!O51+Puchuncavi!O51+Quillota!O51+Quilpue!O51+Quintero!O51+'Villa Alemana'!O51+'Viña del Mar'!O51+Zapallar!O51</f>
        <v>8056732</v>
      </c>
      <c r="P53" s="206">
        <f>+Cabildo!P51+'La Calera'!P51+Concón!P51+Hijuelas!P51+'La Cruz'!P51+'La Ligua'!P51+Limache!P51+Nogales!P51+Olmue!P51+Papudo!P51+Petorca!P51+Puchuncavi!P51+Quillota!P51+Quilpue!P51+Quintero!P51+'Villa Alemana'!P51+'Viña del Mar'!P51+Zapallar!P51</f>
        <v>0</v>
      </c>
      <c r="Q53" s="206">
        <f>+Cabildo!Q51+'La Calera'!Q51+Concón!Q51+Hijuelas!Q51+'La Cruz'!Q51+'La Ligua'!Q51+Limache!Q51+Nogales!Q51+Olmue!Q51+Papudo!Q51+Petorca!Q51+Puchuncavi!Q51+Quillota!Q51+Quilpue!Q51+Quintero!Q51+'Villa Alemana'!Q51+'Viña del Mar'!Q51+Zapallar!Q51</f>
        <v>0</v>
      </c>
      <c r="R53" s="660">
        <f>+Cabildo!R51+'La Calera'!R51+Concón!R51+Hijuelas!R51+'La Cruz'!R51+'La Ligua'!R51+Limache!R51+Nogales!R51+Olmue!R51+Papudo!R51+Petorca!R51+Puchuncavi!R51+Quillota!R51+Quilpue!R51+Quintero!R51+'Villa Alemana'!R51+'Viña del Mar'!R51+Zapallar!R51</f>
        <v>133804403.30957411</v>
      </c>
      <c r="S53" s="662">
        <f>+Cabildo!S51+'La Calera'!S51+Concón!S51+Hijuelas!S51+'La Cruz'!S51+'La Ligua'!S51+Limache!S51+Nogales!S51+Olmue!S51+Papudo!S51+Petorca!S51+Puchuncavi!S51+Quillota!S51+Quilpue!S51+Quintero!S51+'Villa Alemana'!S51+'Viña del Mar'!S51+Zapallar!S51</f>
        <v>164306797.82569724</v>
      </c>
      <c r="T53" s="227">
        <f>+Cabildo!T51+'La Calera'!T51+Concón!T51+Hijuelas!T51+'La Cruz'!T51+'La Ligua'!T51+Limache!T51+Nogales!T51+Olmue!T51+Papudo!T51+Petorca!T51+Puchuncavi!T51+Quillota!T51+Quilpue!T51+Quintero!T51+'Villa Alemana'!T51+'Viña del Mar'!T51+Zapallar!T51</f>
        <v>0</v>
      </c>
      <c r="U53" s="235">
        <f>+Cabildo!U51+'La Calera'!U51+Concón!U51+Hijuelas!U51+'La Cruz'!U51+'La Ligua'!U51+Limache!U51+Nogales!U51+Olmue!U51+Papudo!U51+Petorca!U51+Puchuncavi!U51+Quillota!U51+Quilpue!U51+Quintero!U51+'Villa Alemana'!U51+'Viña del Mar'!U51+Zapallar!U51</f>
        <v>0</v>
      </c>
      <c r="V53" s="206">
        <f>+Cabildo!V51+'La Calera'!V51+Concón!V51+Hijuelas!V51+'La Cruz'!V51+'La Ligua'!V51+Limache!V51+Nogales!V51+Olmue!V51+Papudo!V51+Petorca!V51+Puchuncavi!V51+Quillota!V51+Quilpue!V51+Quintero!V51+'Villa Alemana'!V51+'Viña del Mar'!V51+Zapallar!V51</f>
        <v>0</v>
      </c>
      <c r="W53" s="206">
        <f>+Cabildo!W51+'La Calera'!W51+Concón!W51+Hijuelas!W51+'La Cruz'!W51+'La Ligua'!W51+Limache!W51+Nogales!W51+Olmue!W51+Papudo!W51+Petorca!W51+Puchuncavi!W51+Quillota!W51+Quilpue!W51+Quintero!W51+'Villa Alemana'!W51+'Viña del Mar'!W51+Zapallar!W51</f>
        <v>689519512.5</v>
      </c>
      <c r="X53" s="206">
        <f>+Cabildo!X51+'La Calera'!X51+Concón!X51+Hijuelas!X51+'La Cruz'!X51+'La Ligua'!X51+Limache!X51+Nogales!X51+Olmue!X51+Papudo!X51+Petorca!X51+Puchuncavi!X51+Quillota!X51+Quilpue!X51+Quintero!X51+'Villa Alemana'!X51+'Viña del Mar'!X51+Zapallar!X51</f>
        <v>0</v>
      </c>
      <c r="Y53" s="206">
        <f>+Cabildo!Y51+'La Calera'!Y51+Concón!Y51+Hijuelas!Y51+'La Cruz'!Y51+'La Ligua'!Y51+Limache!Y51+Nogales!Y51+Olmue!Y51+Papudo!Y51+Petorca!Y51+Puchuncavi!Y51+Quillota!Y51+Quilpue!Y51+Quintero!Y51+'Villa Alemana'!Y51+'Viña del Mar'!Y51+Zapallar!Y51</f>
        <v>0</v>
      </c>
      <c r="Z53" s="206">
        <f>+Cabildo!Z51+'La Calera'!Z51+Concón!Z51+Hijuelas!Z51+'La Cruz'!Z51+'La Ligua'!Z51+Limache!Z51+Nogales!Z51+Olmue!Z51+Papudo!Z51+Petorca!Z51+Puchuncavi!Z51+Quillota!Z51+Quilpue!Z51+Quintero!Z51+'Villa Alemana'!Z51+'Viña del Mar'!Z51+Zapallar!Z51</f>
        <v>0</v>
      </c>
      <c r="AA53" s="206">
        <f>+Cabildo!AA51+'La Calera'!AA51+Concón!AA51+Hijuelas!AA51+'La Cruz'!AA51+'La Ligua'!AA51+Limache!AA51+Nogales!AA51+Olmue!AA51+Papudo!AA51+Petorca!AA51+Puchuncavi!AA51+Quillota!AA51+Quilpue!AA51+Quintero!AA51+'Villa Alemana'!AA51+'Viña del Mar'!AA51+Zapallar!AA51</f>
        <v>0</v>
      </c>
      <c r="AB53" s="206">
        <f>+Cabildo!AB51+'La Calera'!AB51+Concón!AB51+Hijuelas!AB51+'La Cruz'!AB51+'La Ligua'!AB51+Limache!AB51+Nogales!AB51+Olmue!AB51+Papudo!AB51+Petorca!AB51+Puchuncavi!AB51+Quillota!AB51+Quilpue!AB51+Quintero!AB51+'Villa Alemana'!AB51+'Viña del Mar'!AB51+Zapallar!AB51</f>
        <v>0</v>
      </c>
      <c r="AC53" s="206">
        <f>+Cabildo!AC51+'La Calera'!AC51+Concón!AC51+Hijuelas!AC51+'La Cruz'!AC51+'La Ligua'!AC51+Limache!AC51+Nogales!AC51+Olmue!AC51+Papudo!AC51+Petorca!AC51+Puchuncavi!AC51+Quillota!AC51+Quilpue!AC51+Quintero!AC51+'Villa Alemana'!AC51+'Viña del Mar'!AC51+Zapallar!AC51</f>
        <v>0</v>
      </c>
      <c r="AD53" s="206">
        <f>+Cabildo!AD51+'La Calera'!AD51+Concón!AD51+Hijuelas!AD51+'La Cruz'!AD51+'La Ligua'!AD51+Limache!AD51+Nogales!AD51+Olmue!AD51+Papudo!AD51+Petorca!AD51+Puchuncavi!AD51+Quillota!AD51+Quilpue!AD51+Quintero!AD51+'Villa Alemana'!AD51+'Viña del Mar'!AD51+Zapallar!AD51</f>
        <v>113399501.86426264</v>
      </c>
      <c r="AE53" s="206">
        <f>+Cabildo!AE51+'La Calera'!AE51+Concón!AE51+Hijuelas!AE51+'La Cruz'!AE51+'La Ligua'!AE51+Limache!AE51+Nogales!AE51+Olmue!AE51+Papudo!AE51+Petorca!AE51+Puchuncavi!AE51+Quillota!AE51+Quilpue!AE51+Quintero!AE51+'Villa Alemana'!AE51+'Viña del Mar'!AE51+Zapallar!AE51</f>
        <v>152475382.52845564</v>
      </c>
      <c r="AF53" s="221">
        <f>+Cabildo!AF51+'La Calera'!AF51+Concón!AF51+Hijuelas!AF51+'La Cruz'!AF51+'La Ligua'!AF51+Limache!AF51+Nogales!AF51+Olmue!AF51+Papudo!AF51+Petorca!AF51+Puchuncavi!AF51+Quillota!AF51+Quilpue!AF51+Quintero!AF51+'Villa Alemana'!AF51+'Viña del Mar'!AF51+Zapallar!AF51</f>
        <v>0</v>
      </c>
      <c r="AG53" s="664">
        <f t="shared" si="9"/>
        <v>955394396.8927182</v>
      </c>
      <c r="AH53" s="431">
        <f t="shared" si="10"/>
        <v>40293048.742553115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3"/>
        <v>0</v>
      </c>
      <c r="AX53" s="431">
        <f t="shared" si="11"/>
        <v>955394396.8927182</v>
      </c>
    </row>
    <row r="54" spans="1:50" ht="15">
      <c r="A54" s="18">
        <v>19</v>
      </c>
      <c r="B54" s="7" t="s">
        <v>97</v>
      </c>
      <c r="C54" s="147"/>
      <c r="D54" s="21">
        <f>+Cabildo!D52+'La Calera'!D52+Concón!D52+Hijuelas!D52+'La Cruz'!D52+'La Ligua'!D52+Limache!D52+Nogales!D52+Olmue!D52+Papudo!D52+Petorca!D52+Puchuncavi!D52+Quillota!D52+Quilpue!D52+Quintero!D52+'Villa Alemana'!D52+'Viña del Mar'!D52+Zapallar!D52</f>
        <v>236535456</v>
      </c>
      <c r="E54" s="142">
        <f>+D54*$E$33</f>
        <v>165574819.19999999</v>
      </c>
      <c r="F54" s="143">
        <f>+D54*$F$33</f>
        <v>70960636.799999997</v>
      </c>
      <c r="G54" s="160"/>
      <c r="H54" s="324">
        <f t="shared" si="8"/>
        <v>236535455.80000001</v>
      </c>
      <c r="I54" s="252">
        <f>+Cabildo!I52+'La Calera'!I52+Concón!I52+Hijuelas!I52+'La Cruz'!I52+'La Ligua'!I52+Limache!I52+Nogales!I52+Olmue!I52+Papudo!I52+Petorca!I52+Puchuncavi!I52+Quillota!I52+Quilpue!I52+Quintero!I52+'Villa Alemana'!I52+'Viña del Mar'!I52+Zapallar!I52</f>
        <v>0</v>
      </c>
      <c r="J54" s="206">
        <f>+Cabildo!J52+'La Calera'!J52+Concón!J52+Hijuelas!J52+'La Cruz'!J52+'La Ligua'!J52+Limache!J52+Nogales!J52+Olmue!J52+Papudo!J52+Petorca!J52+Puchuncavi!J52+Quillota!J52+Quilpue!J52+Quintero!J52+'Villa Alemana'!J52+'Viña del Mar'!J52+Zapallar!J52</f>
        <v>0</v>
      </c>
      <c r="K54" s="206">
        <f>+Cabildo!K52+'La Calera'!K52+Concón!K52+Hijuelas!K52+'La Cruz'!K52+'La Ligua'!K52+Limache!K52+Nogales!K52+Olmue!K52+Papudo!K52+Petorca!K52+Puchuncavi!K52+Quillota!K52+Quilpue!K52+Quintero!K52+'Villa Alemana'!K52+'Viña del Mar'!K52+Zapallar!K52</f>
        <v>164360086.80000001</v>
      </c>
      <c r="L54" s="206">
        <f>+Cabildo!L52+'La Calera'!L52+Concón!L52+Hijuelas!L52+'La Cruz'!L52+'La Ligua'!L52+Limache!L52+Nogales!L52+Olmue!L52+Papudo!L52+Petorca!L52+Puchuncavi!L52+Quillota!L52+Quilpue!L52+Quintero!L52+'Villa Alemana'!L52+'Viña del Mar'!L52+Zapallar!L52</f>
        <v>0</v>
      </c>
      <c r="M54" s="206">
        <f>+Cabildo!M52+'La Calera'!M52+Concón!M52+Hijuelas!M52+'La Cruz'!M52+'La Ligua'!M52+Limache!M52+Nogales!M52+Olmue!M52+Papudo!M52+Petorca!M52+Puchuncavi!M52+Quillota!M52+Quilpue!M52+Quintero!M52+'Villa Alemana'!M52+'Viña del Mar'!M52+Zapallar!M52</f>
        <v>0</v>
      </c>
      <c r="N54" s="206">
        <f>+Cabildo!N52+'La Calera'!N52+Concón!N52+Hijuelas!N52+'La Cruz'!N52+'La Ligua'!N52+Limache!N52+Nogales!N52+Olmue!N52+Papudo!N52+Petorca!N52+Puchuncavi!N52+Quillota!N52+Quilpue!N52+Quintero!N52+'Villa Alemana'!N52+'Viña del Mar'!N52+Zapallar!N52</f>
        <v>0</v>
      </c>
      <c r="O54" s="206">
        <f>+Cabildo!O52+'La Calera'!O52+Concón!O52+Hijuelas!O52+'La Cruz'!O52+'La Ligua'!O52+Limache!O52+Nogales!O52+Olmue!O52+Papudo!O52+Petorca!O52+Puchuncavi!O52+Quillota!O52+Quilpue!O52+Quintero!O52+'Villa Alemana'!O52+'Viña del Mar'!O52+Zapallar!O52</f>
        <v>1214732.1280682753</v>
      </c>
      <c r="P54" s="206">
        <f>+Cabildo!P52+'La Calera'!P52+Concón!P52+Hijuelas!P52+'La Cruz'!P52+'La Ligua'!P52+Limache!P52+Nogales!P52+Olmue!P52+Papudo!P52+Petorca!P52+Puchuncavi!P52+Quillota!P52+Quilpue!P52+Quintero!P52+'Villa Alemana'!P52+'Viña del Mar'!P52+Zapallar!P52</f>
        <v>0</v>
      </c>
      <c r="Q54" s="206">
        <f>+Cabildo!Q52+'La Calera'!Q52+Concón!Q52+Hijuelas!Q52+'La Cruz'!Q52+'La Ligua'!Q52+Limache!Q52+Nogales!Q52+Olmue!Q52+Papudo!Q52+Petorca!Q52+Puchuncavi!Q52+Quillota!Q52+Quilpue!Q52+Quintero!Q52+'Villa Alemana'!Q52+'Viña del Mar'!Q52+Zapallar!Q52</f>
        <v>0</v>
      </c>
      <c r="R54" s="660">
        <f>+Cabildo!R52+'La Calera'!R52+Concón!R52+Hijuelas!R52+'La Cruz'!R52+'La Ligua'!R52+Limache!R52+Nogales!R52+Olmue!R52+Papudo!R52+Petorca!R52+Puchuncavi!R52+Quillota!R52+Quilpue!R52+Quintero!R52+'Villa Alemana'!R52+'Viña del Mar'!R52+Zapallar!R52</f>
        <v>25672054.5461246</v>
      </c>
      <c r="S54" s="662">
        <f>+Cabildo!S52+'La Calera'!S52+Concón!S52+Hijuelas!S52+'La Cruz'!S52+'La Ligua'!S52+Limache!S52+Nogales!S52+Olmue!S52+Papudo!S52+Petorca!S52+Puchuncavi!S52+Quillota!S52+Quilpue!S52+Quintero!S52+'Villa Alemana'!S52+'Viña del Mar'!S52+Zapallar!S52</f>
        <v>45288582.325807117</v>
      </c>
      <c r="T54" s="227">
        <f>+Cabildo!T52+'La Calera'!T52+Concón!T52+Hijuelas!T52+'La Cruz'!T52+'La Ligua'!T52+Limache!T52+Nogales!T52+Olmue!T52+Papudo!T52+Petorca!T52+Puchuncavi!T52+Quillota!T52+Quilpue!T52+Quintero!T52+'Villa Alemana'!T52+'Viña del Mar'!T52+Zapallar!T52</f>
        <v>0</v>
      </c>
      <c r="U54" s="235">
        <f>+Cabildo!U52+'La Calera'!U52+Concón!U52+Hijuelas!U52+'La Cruz'!U52+'La Ligua'!U52+Limache!U52+Nogales!U52+Olmue!U52+Papudo!U52+Petorca!U52+Puchuncavi!U52+Quillota!U52+Quilpue!U52+Quintero!U52+'Villa Alemana'!U52+'Viña del Mar'!U52+Zapallar!U52</f>
        <v>0</v>
      </c>
      <c r="V54" s="206">
        <f>+Cabildo!V52+'La Calera'!V52+Concón!V52+Hijuelas!V52+'La Cruz'!V52+'La Ligua'!V52+Limache!V52+Nogales!V52+Olmue!V52+Papudo!V52+Petorca!V52+Puchuncavi!V52+Quillota!V52+Quilpue!V52+Quintero!V52+'Villa Alemana'!V52+'Viña del Mar'!V52+Zapallar!V52</f>
        <v>0</v>
      </c>
      <c r="W54" s="206">
        <f>+Cabildo!W52+'La Calera'!W52+Concón!W52+Hijuelas!W52+'La Cruz'!W52+'La Ligua'!W52+Limache!W52+Nogales!W52+Olmue!W52+Papudo!W52+Petorca!W52+Puchuncavi!W52+Quillota!W52+Quilpue!W52+Quintero!W52+'Villa Alemana'!W52+'Viña del Mar'!W52+Zapallar!W52</f>
        <v>164360086.80000001</v>
      </c>
      <c r="X54" s="206">
        <f>+Cabildo!X52+'La Calera'!X52+Concón!X52+Hijuelas!X52+'La Cruz'!X52+'La Ligua'!X52+Limache!X52+Nogales!X52+Olmue!X52+Papudo!X52+Petorca!X52+Puchuncavi!X52+Quillota!X52+Quilpue!X52+Quintero!X52+'Villa Alemana'!X52+'Viña del Mar'!X52+Zapallar!X52</f>
        <v>0</v>
      </c>
      <c r="Y54" s="206">
        <f>+Cabildo!Y52+'La Calera'!Y52+Concón!Y52+Hijuelas!Y52+'La Cruz'!Y52+'La Ligua'!Y52+Limache!Y52+Nogales!Y52+Olmue!Y52+Papudo!Y52+Petorca!Y52+Puchuncavi!Y52+Quillota!Y52+Quilpue!Y52+Quintero!Y52+'Villa Alemana'!Y52+'Viña del Mar'!Y52+Zapallar!Y52</f>
        <v>0</v>
      </c>
      <c r="Z54" s="206">
        <f>+Cabildo!Z52+'La Calera'!Z52+Concón!Z52+Hijuelas!Z52+'La Cruz'!Z52+'La Ligua'!Z52+Limache!Z52+Nogales!Z52+Olmue!Z52+Papudo!Z52+Petorca!Z52+Puchuncavi!Z52+Quillota!Z52+Quilpue!Z52+Quintero!Z52+'Villa Alemana'!Z52+'Viña del Mar'!Z52+Zapallar!Z52</f>
        <v>0</v>
      </c>
      <c r="AA54" s="206">
        <f>+Cabildo!AA52+'La Calera'!AA52+Concón!AA52+Hijuelas!AA52+'La Cruz'!AA52+'La Ligua'!AA52+Limache!AA52+Nogales!AA52+Olmue!AA52+Papudo!AA52+Petorca!AA52+Puchuncavi!AA52+Quillota!AA52+Quilpue!AA52+Quintero!AA52+'Villa Alemana'!AA52+'Viña del Mar'!AA52+Zapallar!AA52</f>
        <v>0</v>
      </c>
      <c r="AB54" s="206">
        <f>+Cabildo!AB52+'La Calera'!AB52+Concón!AB52+Hijuelas!AB52+'La Cruz'!AB52+'La Ligua'!AB52+Limache!AB52+Nogales!AB52+Olmue!AB52+Papudo!AB52+Petorca!AB52+Puchuncavi!AB52+Quillota!AB52+Quilpue!AB52+Quintero!AB52+'Villa Alemana'!AB52+'Viña del Mar'!AB52+Zapallar!AB52</f>
        <v>0</v>
      </c>
      <c r="AC54" s="206">
        <f>+Cabildo!AC52+'La Calera'!AC52+Concón!AC52+Hijuelas!AC52+'La Cruz'!AC52+'La Ligua'!AC52+Limache!AC52+Nogales!AC52+Olmue!AC52+Papudo!AC52+Petorca!AC52+Puchuncavi!AC52+Quillota!AC52+Quilpue!AC52+Quintero!AC52+'Villa Alemana'!AC52+'Viña del Mar'!AC52+Zapallar!AC52</f>
        <v>0</v>
      </c>
      <c r="AD54" s="206">
        <f>+Cabildo!AD52+'La Calera'!AD52+Concón!AD52+Hijuelas!AD52+'La Cruz'!AD52+'La Ligua'!AD52+Limache!AD52+Nogales!AD52+Olmue!AD52+Papudo!AD52+Petorca!AD52+Puchuncavi!AD52+Quillota!AD52+Quilpue!AD52+Quintero!AD52+'Villa Alemana'!AD52+'Viña del Mar'!AD52+Zapallar!AD52</f>
        <v>21806618.163207129</v>
      </c>
      <c r="AE54" s="206">
        <f>+Cabildo!AE52+'La Calera'!AE52+Concón!AE52+Hijuelas!AE52+'La Cruz'!AE52+'La Ligua'!AE52+Limache!AE52+Nogales!AE52+Olmue!AE52+Papudo!AE52+Petorca!AE52+Puchuncavi!AE52+Quillota!AE52+Quilpue!AE52+Quintero!AE52+'Villa Alemana'!AE52+'Viña del Mar'!AE52+Zapallar!AE52</f>
        <v>45476457.333709948</v>
      </c>
      <c r="AF54" s="221">
        <f>+Cabildo!AF52+'La Calera'!AF52+Concón!AF52+Hijuelas!AF52+'La Cruz'!AF52+'La Ligua'!AF52+Limache!AF52+Nogales!AF52+Olmue!AF52+Papudo!AF52+Petorca!AF52+Puchuncavi!AF52+Quillota!AF52+Quilpue!AF52+Quintero!AF52+'Villa Alemana'!AF52+'Viña del Mar'!AF52+Zapallar!AF52</f>
        <v>0</v>
      </c>
      <c r="AG54" s="664">
        <f t="shared" si="9"/>
        <v>231643162.29691708</v>
      </c>
      <c r="AH54" s="431">
        <f t="shared" si="10"/>
        <v>4892293.503082931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3"/>
        <v>0</v>
      </c>
      <c r="AX54" s="431">
        <f t="shared" si="11"/>
        <v>231643162.29691708</v>
      </c>
    </row>
    <row r="55" spans="1:50" ht="15">
      <c r="A55" s="18">
        <v>20</v>
      </c>
      <c r="B55" s="7" t="s">
        <v>98</v>
      </c>
      <c r="C55" s="147"/>
      <c r="D55" s="21">
        <f>+Cabildo!D53+'La Calera'!D53+Concón!D53+Hijuelas!D53+'La Cruz'!D53+'La Ligua'!D53+Limache!D53+Nogales!D53+Olmue!D53+Papudo!D53+Petorca!D53+Puchuncavi!D53+Quillota!D53+Quilpue!D53+Quintero!D53+'Villa Alemana'!D53+'Viña del Mar'!D53+Zapallar!D53</f>
        <v>112969642</v>
      </c>
      <c r="E55" s="142">
        <f>+D55*$E$33</f>
        <v>79078749.399999991</v>
      </c>
      <c r="F55" s="143">
        <f>+D55*$F$33</f>
        <v>33890892.600000001</v>
      </c>
      <c r="G55" s="160"/>
      <c r="H55" s="324">
        <f t="shared" si="8"/>
        <v>112969642.30000001</v>
      </c>
      <c r="I55" s="252">
        <f>+Cabildo!I53+'La Calera'!I53+Concón!I53+Hijuelas!I53+'La Cruz'!I53+'La Ligua'!I53+Limache!I53+Nogales!I53+Olmue!I53+Papudo!I53+Petorca!I53+Puchuncavi!I53+Quillota!I53+Quilpue!I53+Quintero!I53+'Villa Alemana'!I53+'Viña del Mar'!I53+Zapallar!I53</f>
        <v>0</v>
      </c>
      <c r="J55" s="206">
        <f>+Cabildo!J53+'La Calera'!J53+Concón!J53+Hijuelas!J53+'La Cruz'!J53+'La Ligua'!J53+Limache!J53+Nogales!J53+Olmue!J53+Papudo!J53+Petorca!J53+Puchuncavi!J53+Quillota!J53+Quilpue!J53+Quintero!J53+'Villa Alemana'!J53+'Viña del Mar'!J53+Zapallar!J53</f>
        <v>0</v>
      </c>
      <c r="K55" s="206">
        <f>+Cabildo!K53+'La Calera'!K53+Concón!K53+Hijuelas!K53+'La Cruz'!K53+'La Ligua'!K53+Limache!K53+Nogales!K53+Olmue!K53+Papudo!K53+Petorca!K53+Puchuncavi!K53+Quillota!K53+Quilpue!K53+Quintero!K53+'Villa Alemana'!K53+'Viña del Mar'!K53+Zapallar!K53</f>
        <v>78770948.900000006</v>
      </c>
      <c r="L55" s="206">
        <f>+Cabildo!L53+'La Calera'!L53+Concón!L53+Hijuelas!L53+'La Cruz'!L53+'La Ligua'!L53+Limache!L53+Nogales!L53+Olmue!L53+Papudo!L53+Petorca!L53+Puchuncavi!L53+Quillota!L53+Quilpue!L53+Quintero!L53+'Villa Alemana'!L53+'Viña del Mar'!L53+Zapallar!L53</f>
        <v>0</v>
      </c>
      <c r="M55" s="206">
        <f>+Cabildo!M53+'La Calera'!M53+Concón!M53+Hijuelas!M53+'La Cruz'!M53+'La Ligua'!M53+Limache!M53+Nogales!M53+Olmue!M53+Papudo!M53+Petorca!M53+Puchuncavi!M53+Quillota!M53+Quilpue!M53+Quintero!M53+'Villa Alemana'!M53+'Viña del Mar'!M53+Zapallar!M53</f>
        <v>0</v>
      </c>
      <c r="N55" s="206">
        <f>+Cabildo!N53+'La Calera'!N53+Concón!N53+Hijuelas!N53+'La Cruz'!N53+'La Ligua'!N53+Limache!N53+Nogales!N53+Olmue!N53+Papudo!N53+Petorca!N53+Puchuncavi!N53+Quillota!N53+Quilpue!N53+Quintero!N53+'Villa Alemana'!N53+'Viña del Mar'!N53+Zapallar!N53</f>
        <v>0</v>
      </c>
      <c r="O55" s="206">
        <f>+Cabildo!O53+'La Calera'!O53+Concón!O53+Hijuelas!O53+'La Cruz'!O53+'La Ligua'!O53+Limache!O53+Nogales!O53+Olmue!O53+Papudo!O53+Petorca!O53+Puchuncavi!O53+Quillota!O53+Quilpue!O53+Quintero!O53+'Villa Alemana'!O53+'Viña del Mar'!O53+Zapallar!O53</f>
        <v>307800.45509898436</v>
      </c>
      <c r="P55" s="206">
        <f>+Cabildo!P53+'La Calera'!P53+Concón!P53+Hijuelas!P53+'La Cruz'!P53+'La Ligua'!P53+Limache!P53+Nogales!P53+Olmue!P53+Papudo!P53+Petorca!P53+Puchuncavi!P53+Quillota!P53+Quilpue!P53+Quintero!P53+'Villa Alemana'!P53+'Viña del Mar'!P53+Zapallar!P53</f>
        <v>0</v>
      </c>
      <c r="Q55" s="206">
        <f>+Cabildo!Q53+'La Calera'!Q53+Concón!Q53+Hijuelas!Q53+'La Cruz'!Q53+'La Ligua'!Q53+Limache!Q53+Nogales!Q53+Olmue!Q53+Papudo!Q53+Petorca!Q53+Puchuncavi!Q53+Quillota!Q53+Quilpue!Q53+Quintero!Q53+'Villa Alemana'!Q53+'Viña del Mar'!Q53+Zapallar!Q53</f>
        <v>0</v>
      </c>
      <c r="R55" s="660">
        <f>+Cabildo!R53+'La Calera'!R53+Concón!R53+Hijuelas!R53+'La Cruz'!R53+'La Ligua'!R53+Limache!R53+Nogales!R53+Olmue!R53+Papudo!R53+Petorca!R53+Puchuncavi!R53+Quillota!R53+Quilpue!R53+Quintero!R53+'Villa Alemana'!R53+'Viña del Mar'!R53+Zapallar!R53</f>
        <v>9980910.0167570282</v>
      </c>
      <c r="S55" s="662">
        <f>+Cabildo!S53+'La Calera'!S53+Concón!S53+Hijuelas!S53+'La Cruz'!S53+'La Ligua'!S53+Limache!S53+Nogales!S53+Olmue!S53+Papudo!S53+Petorca!S53+Puchuncavi!S53+Quillota!S53+Quilpue!S53+Quintero!S53+'Villa Alemana'!S53+'Viña del Mar'!S53+Zapallar!S53</f>
        <v>23909982.928143989</v>
      </c>
      <c r="T55" s="227">
        <f>+Cabildo!T53+'La Calera'!T53+Concón!T53+Hijuelas!T53+'La Cruz'!T53+'La Ligua'!T53+Limache!T53+Nogales!T53+Olmue!T53+Papudo!T53+Petorca!T53+Puchuncavi!T53+Quillota!T53+Quilpue!T53+Quintero!T53+'Villa Alemana'!T53+'Viña del Mar'!T53+Zapallar!T53</f>
        <v>0</v>
      </c>
      <c r="U55" s="235">
        <f>+Cabildo!U53+'La Calera'!U53+Concón!U53+Hijuelas!U53+'La Cruz'!U53+'La Ligua'!U53+Limache!U53+Nogales!U53+Olmue!U53+Papudo!U53+Petorca!U53+Puchuncavi!U53+Quillota!U53+Quilpue!U53+Quintero!U53+'Villa Alemana'!U53+'Viña del Mar'!U53+Zapallar!U53</f>
        <v>0</v>
      </c>
      <c r="V55" s="206">
        <f>+Cabildo!V53+'La Calera'!V53+Concón!V53+Hijuelas!V53+'La Cruz'!V53+'La Ligua'!V53+Limache!V53+Nogales!V53+Olmue!V53+Papudo!V53+Petorca!V53+Puchuncavi!V53+Quillota!V53+Quilpue!V53+Quintero!V53+'Villa Alemana'!V53+'Viña del Mar'!V53+Zapallar!V53</f>
        <v>0</v>
      </c>
      <c r="W55" s="206">
        <f>+Cabildo!W53+'La Calera'!W53+Concón!W53+Hijuelas!W53+'La Cruz'!W53+'La Ligua'!W53+Limache!W53+Nogales!W53+Olmue!W53+Papudo!W53+Petorca!W53+Puchuncavi!W53+Quillota!W53+Quilpue!W53+Quintero!W53+'Villa Alemana'!W53+'Viña del Mar'!W53+Zapallar!W53</f>
        <v>78770948.900000006</v>
      </c>
      <c r="X55" s="206">
        <f>+Cabildo!X53+'La Calera'!X53+Concón!X53+Hijuelas!X53+'La Cruz'!X53+'La Ligua'!X53+Limache!X53+Nogales!X53+Olmue!X53+Papudo!X53+Petorca!X53+Puchuncavi!X53+Quillota!X53+Quilpue!X53+Quintero!X53+'Villa Alemana'!X53+'Viña del Mar'!X53+Zapallar!X53</f>
        <v>0</v>
      </c>
      <c r="Y55" s="206">
        <f>+Cabildo!Y53+'La Calera'!Y53+Concón!Y53+Hijuelas!Y53+'La Cruz'!Y53+'La Ligua'!Y53+Limache!Y53+Nogales!Y53+Olmue!Y53+Papudo!Y53+Petorca!Y53+Puchuncavi!Y53+Quillota!Y53+Quilpue!Y53+Quintero!Y53+'Villa Alemana'!Y53+'Viña del Mar'!Y53+Zapallar!Y53</f>
        <v>0</v>
      </c>
      <c r="Z55" s="206">
        <f>+Cabildo!Z53+'La Calera'!Z53+Concón!Z53+Hijuelas!Z53+'La Cruz'!Z53+'La Ligua'!Z53+Limache!Z53+Nogales!Z53+Olmue!Z53+Papudo!Z53+Petorca!Z53+Puchuncavi!Z53+Quillota!Z53+Quilpue!Z53+Quintero!Z53+'Villa Alemana'!Z53+'Viña del Mar'!Z53+Zapallar!Z53</f>
        <v>0</v>
      </c>
      <c r="AA55" s="206">
        <f>+Cabildo!AA53+'La Calera'!AA53+Concón!AA53+Hijuelas!AA53+'La Cruz'!AA53+'La Ligua'!AA53+Limache!AA53+Nogales!AA53+Olmue!AA53+Papudo!AA53+Petorca!AA53+Puchuncavi!AA53+Quillota!AA53+Quilpue!AA53+Quintero!AA53+'Villa Alemana'!AA53+'Viña del Mar'!AA53+Zapallar!AA53</f>
        <v>0</v>
      </c>
      <c r="AB55" s="206">
        <f>+Cabildo!AB53+'La Calera'!AB53+Concón!AB53+Hijuelas!AB53+'La Cruz'!AB53+'La Ligua'!AB53+Limache!AB53+Nogales!AB53+Olmue!AB53+Papudo!AB53+Petorca!AB53+Puchuncavi!AB53+Quillota!AB53+Quilpue!AB53+Quintero!AB53+'Villa Alemana'!AB53+'Viña del Mar'!AB53+Zapallar!AB53</f>
        <v>0</v>
      </c>
      <c r="AC55" s="206">
        <f>+Cabildo!AC53+'La Calera'!AC53+Concón!AC53+Hijuelas!AC53+'La Cruz'!AC53+'La Ligua'!AC53+Limache!AC53+Nogales!AC53+Olmue!AC53+Papudo!AC53+Petorca!AC53+Puchuncavi!AC53+Quillota!AC53+Quilpue!AC53+Quintero!AC53+'Villa Alemana'!AC53+'Viña del Mar'!AC53+Zapallar!AC53</f>
        <v>0</v>
      </c>
      <c r="AD55" s="206">
        <f>+Cabildo!AD53+'La Calera'!AD53+Concón!AD53+Hijuelas!AD53+'La Cruz'!AD53+'La Ligua'!AD53+Limache!AD53+Nogales!AD53+Olmue!AD53+Papudo!AD53+Petorca!AD53+Puchuncavi!AD53+Quillota!AD53+Quilpue!AD53+Quintero!AD53+'Villa Alemana'!AD53+'Viña del Mar'!AD53+Zapallar!AD53</f>
        <v>7485730.9086019043</v>
      </c>
      <c r="AE55" s="206">
        <f>+Cabildo!AE53+'La Calera'!AE53+Concón!AE53+Hijuelas!AE53+'La Cruz'!AE53+'La Ligua'!AE53+Limache!AE53+Nogales!AE53+Olmue!AE53+Papudo!AE53+Petorca!AE53+Puchuncavi!AE53+Quillota!AE53+Quilpue!AE53+Quintero!AE53+'Villa Alemana'!AE53+'Viña del Mar'!AE53+Zapallar!AE53</f>
        <v>24265265.659945842</v>
      </c>
      <c r="AF55" s="221">
        <f>+Cabildo!AF53+'La Calera'!AF53+Concón!AF53+Hijuelas!AF53+'La Cruz'!AF53+'La Ligua'!AF53+Limache!AF53+Nogales!AF53+Olmue!AF53+Papudo!AF53+Petorca!AF53+Puchuncavi!AF53+Quillota!AF53+Quilpue!AF53+Quintero!AF53+'Villa Alemana'!AF53+'Viña del Mar'!AF53+Zapallar!AF53</f>
        <v>0</v>
      </c>
      <c r="AG55" s="664">
        <f t="shared" si="9"/>
        <v>110521945.46854776</v>
      </c>
      <c r="AH55" s="431">
        <f t="shared" si="10"/>
        <v>2447696.8314522505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3"/>
        <v>0</v>
      </c>
      <c r="AX55" s="431">
        <f t="shared" si="11"/>
        <v>110521945.46854776</v>
      </c>
    </row>
    <row r="56" spans="1:50" ht="15">
      <c r="A56" s="18">
        <v>21</v>
      </c>
      <c r="B56" s="7" t="s">
        <v>84</v>
      </c>
      <c r="C56" s="147"/>
      <c r="D56" s="21">
        <f>+Cabildo!D54+'La Calera'!D54+Concón!D54+Hijuelas!D54+'La Cruz'!D54+'La Ligua'!D54+Limache!D54+Nogales!D54+Olmue!D54+Papudo!D54+Petorca!D54+Puchuncavi!D54+Quillota!D54+Quilpue!D54+Quintero!D54+'Villa Alemana'!D54+'Viña del Mar'!D54+Zapallar!D54</f>
        <v>173150000</v>
      </c>
      <c r="E56" s="142"/>
      <c r="F56" s="143"/>
      <c r="G56" s="160"/>
      <c r="H56" s="324">
        <f t="shared" si="8"/>
        <v>173150000</v>
      </c>
      <c r="I56" s="252">
        <f>+Cabildo!I54+'La Calera'!I54+Concón!I54+Hijuelas!I54+'La Cruz'!I54+'La Ligua'!I54+Limache!I54+Nogales!I54+Olmue!I54+Papudo!I54+Petorca!I54+Puchuncavi!I54+Quillota!I54+Quilpue!I54+Quintero!I54+'Villa Alemana'!I54+'Viña del Mar'!I54+Zapallar!I54</f>
        <v>0</v>
      </c>
      <c r="J56" s="206">
        <f>+Cabildo!J54+'La Calera'!J54+Concón!J54+Hijuelas!J54+'La Cruz'!J54+'La Ligua'!J54+Limache!J54+Nogales!J54+Olmue!J54+Papudo!J54+Petorca!J54+Puchuncavi!J54+Quillota!J54+Quilpue!J54+Quintero!J54+'Villa Alemana'!J54+'Viña del Mar'!J54+Zapallar!J54</f>
        <v>0</v>
      </c>
      <c r="K56" s="206">
        <f>+Cabildo!K54+'La Calera'!K54+Concón!K54+Hijuelas!K54+'La Cruz'!K54+'La Ligua'!K54+Limache!K54+Nogales!K54+Olmue!K54+Papudo!K54+Petorca!K54+Puchuncavi!K54+Quillota!K54+Quilpue!K54+Quintero!K54+'Villa Alemana'!K54+'Viña del Mar'!K54+Zapallar!K54</f>
        <v>0</v>
      </c>
      <c r="L56" s="206">
        <f>+Cabildo!L54+'La Calera'!L54+Concón!L54+Hijuelas!L54+'La Cruz'!L54+'La Ligua'!L54+Limache!L54+Nogales!L54+Olmue!L54+Papudo!L54+Petorca!L54+Puchuncavi!L54+Quillota!L54+Quilpue!L54+Quintero!L54+'Villa Alemana'!L54+'Viña del Mar'!L54+Zapallar!L54</f>
        <v>90037123</v>
      </c>
      <c r="M56" s="206">
        <f>+Cabildo!M54+'La Calera'!M54+Concón!M54+Hijuelas!M54+'La Cruz'!M54+'La Ligua'!M54+Limache!M54+Nogales!M54+Olmue!M54+Papudo!M54+Petorca!M54+Puchuncavi!M54+Quillota!M54+Quilpue!M54+Quintero!M54+'Villa Alemana'!M54+'Viña del Mar'!M54+Zapallar!M54</f>
        <v>17865964</v>
      </c>
      <c r="N56" s="206">
        <f>+Cabildo!N54+'La Calera'!N54+Concón!N54+Hijuelas!N54+'La Cruz'!N54+'La Ligua'!N54+Limache!N54+Nogales!N54+Olmue!N54+Papudo!N54+Petorca!N54+Puchuncavi!N54+Quillota!N54+Quilpue!N54+Quintero!N54+'Villa Alemana'!N54+'Viña del Mar'!N54+Zapallar!N54</f>
        <v>13275115</v>
      </c>
      <c r="O56" s="560">
        <f>+Cabildo!O54+'La Calera'!O54+Concón!O54+Hijuelas!O54+'La Cruz'!O54+'La Ligua'!O54+Limache!O54+Nogales!O54+Olmue!O54+Papudo!O54+Petorca!O54+Puchuncavi!O54+Quillota!O54+Quilpue!O54+Quintero!O54+'Villa Alemana'!O54+'Viña del Mar'!O54+Zapallar!O54</f>
        <v>26795</v>
      </c>
      <c r="P56" s="206">
        <f>+Cabildo!P54+'La Calera'!P54+Concón!P54+Hijuelas!P54+'La Cruz'!P54+'La Ligua'!P54+Limache!P54+Nogales!P54+Olmue!P54+Papudo!P54+Petorca!P54+Puchuncavi!P54+Quillota!P54+Quilpue!P54+Quintero!P54+'Villa Alemana'!P54+'Viña del Mar'!P54+Zapallar!P54</f>
        <v>0</v>
      </c>
      <c r="Q56" s="206">
        <f>+Cabildo!Q54+'La Calera'!Q54+Concón!Q54+Hijuelas!Q54+'La Cruz'!Q54+'La Ligua'!Q54+Limache!Q54+Nogales!Q54+Olmue!Q54+Papudo!Q54+Petorca!Q54+Puchuncavi!Q54+Quillota!Q54+Quilpue!Q54+Quintero!Q54+'Villa Alemana'!Q54+'Viña del Mar'!Q54+Zapallar!Q54</f>
        <v>0</v>
      </c>
      <c r="R56" s="560">
        <f>+Cabildo!R54+'La Calera'!R54+Concón!R54+Hijuelas!R54+'La Cruz'!R54+'La Ligua'!R54+Limache!R54+Nogales!R54+Olmue!R54+Papudo!R54+Petorca!R54+Puchuncavi!R54+Quillota!R54+Quilpue!R54+Quintero!R54+'Villa Alemana'!R54+'Viña del Mar'!R54+Zapallar!R54</f>
        <v>51945003</v>
      </c>
      <c r="S56" s="206">
        <f>+Cabildo!S54+'La Calera'!S54+Concón!S54+Hijuelas!S54+'La Cruz'!S54+'La Ligua'!S54+Limache!S54+Nogales!S54+Olmue!S54+Papudo!S54+Petorca!S54+Puchuncavi!S54+Quillota!S54+Quilpue!S54+Quintero!S54+'Villa Alemana'!S54+'Viña del Mar'!S54+Zapallar!S54</f>
        <v>0</v>
      </c>
      <c r="T56" s="227">
        <f>+Cabildo!T54+'La Calera'!T54+Concón!T54+Hijuelas!T54+'La Cruz'!T54+'La Ligua'!T54+Limache!T54+Nogales!T54+Olmue!T54+Papudo!T54+Petorca!T54+Puchuncavi!T54+Quillota!T54+Quilpue!T54+Quintero!T54+'Villa Alemana'!T54+'Viña del Mar'!T54+Zapallar!T54</f>
        <v>0</v>
      </c>
      <c r="U56" s="235">
        <f>+Cabildo!U54+'La Calera'!U54+Concón!U54+Hijuelas!U54+'La Cruz'!U54+'La Ligua'!U54+Limache!U54+Nogales!U54+Olmue!U54+Papudo!U54+Petorca!U54+Puchuncavi!U54+Quillota!U54+Quilpue!U54+Quintero!U54+'Villa Alemana'!U54+'Viña del Mar'!U54+Zapallar!U54</f>
        <v>0</v>
      </c>
      <c r="V56" s="206">
        <f>+Cabildo!V54+'La Calera'!V54+Concón!V54+Hijuelas!V54+'La Cruz'!V54+'La Ligua'!V54+Limache!V54+Nogales!V54+Olmue!V54+Papudo!V54+Petorca!V54+Puchuncavi!V54+Quillota!V54+Quilpue!V54+Quintero!V54+'Villa Alemana'!V54+'Viña del Mar'!V54+Zapallar!V54</f>
        <v>0</v>
      </c>
      <c r="W56" s="206">
        <f>+Cabildo!W54+'La Calera'!W54+Concón!W54+Hijuelas!W54+'La Cruz'!W54+'La Ligua'!W54+Limache!W54+Nogales!W54+Olmue!W54+Papudo!W54+Petorca!W54+Puchuncavi!W54+Quillota!W54+Quilpue!W54+Quintero!W54+'Villa Alemana'!W54+'Viña del Mar'!W54+Zapallar!W54</f>
        <v>0</v>
      </c>
      <c r="X56" s="206">
        <f>+Cabildo!X54+'La Calera'!X54+Concón!X54+Hijuelas!X54+'La Cruz'!X54+'La Ligua'!X54+Limache!X54+Nogales!X54+Olmue!X54+Papudo!X54+Petorca!X54+Puchuncavi!X54+Quillota!X54+Quilpue!X54+Quintero!X54+'Villa Alemana'!X54+'Viña del Mar'!X54+Zapallar!X54</f>
        <v>90037123</v>
      </c>
      <c r="Y56" s="206">
        <f>+Cabildo!Y54+'La Calera'!Y54+Concón!Y54+Hijuelas!Y54+'La Cruz'!Y54+'La Ligua'!Y54+Limache!Y54+Nogales!Y54+Olmue!Y54+Papudo!Y54+Petorca!Y54+Puchuncavi!Y54+Quillota!Y54+Quilpue!Y54+Quintero!Y54+'Villa Alemana'!Y54+'Viña del Mar'!Y54+Zapallar!Y54</f>
        <v>17865964</v>
      </c>
      <c r="Z56" s="206">
        <f>+Cabildo!Z54+'La Calera'!Z54+Concón!Z54+Hijuelas!Z54+'La Cruz'!Z54+'La Ligua'!Z54+Limache!Z54+Nogales!Z54+Olmue!Z54+Papudo!Z54+Petorca!Z54+Puchuncavi!Z54+Quillota!Z54+Quilpue!Z54+Quintero!Z54+'Villa Alemana'!Z54+'Viña del Mar'!Z54+Zapallar!Z54</f>
        <v>13275115</v>
      </c>
      <c r="AA56" s="206">
        <f>+Cabildo!AA54+'La Calera'!AA54+Concón!AA54+Hijuelas!AA54+'La Cruz'!AA54+'La Ligua'!AA54+Limache!AA54+Nogales!AA54+Olmue!AA54+Papudo!AA54+Petorca!AA54+Puchuncavi!AA54+Quillota!AA54+Quilpue!AA54+Quintero!AA54+'Villa Alemana'!AA54+'Viña del Mar'!AA54+Zapallar!AA54</f>
        <v>26795</v>
      </c>
      <c r="AB56" s="206">
        <f>+Cabildo!AB54+'La Calera'!AB54+Concón!AB54+Hijuelas!AB54+'La Cruz'!AB54+'La Ligua'!AB54+Limache!AB54+Nogales!AB54+Olmue!AB54+Papudo!AB54+Petorca!AB54+Puchuncavi!AB54+Quillota!AB54+Quilpue!AB54+Quintero!AB54+'Villa Alemana'!AB54+'Viña del Mar'!AB54+Zapallar!AB54</f>
        <v>0</v>
      </c>
      <c r="AC56" s="206">
        <f>+Cabildo!AC54+'La Calera'!AC54+Concón!AC54+Hijuelas!AC54+'La Cruz'!AC54+'La Ligua'!AC54+Limache!AC54+Nogales!AC54+Olmue!AC54+Papudo!AC54+Petorca!AC54+Puchuncavi!AC54+Quillota!AC54+Quilpue!AC54+Quintero!AC54+'Villa Alemana'!AC54+'Viña del Mar'!AC54+Zapallar!AC54</f>
        <v>0</v>
      </c>
      <c r="AD56" s="206">
        <f>+Cabildo!AD54+'La Calera'!AD54+Concón!AD54+Hijuelas!AD54+'La Cruz'!AD54+'La Ligua'!AD54+Limache!AD54+Nogales!AD54+Olmue!AD54+Papudo!AD54+Petorca!AD54+Puchuncavi!AD54+Quillota!AD54+Quilpue!AD54+Quintero!AD54+'Villa Alemana'!AD54+'Viña del Mar'!AD54+Zapallar!AD54</f>
        <v>51945003</v>
      </c>
      <c r="AE56" s="206">
        <f>+Cabildo!AE54+'La Calera'!AE54+Concón!AE54+Hijuelas!AE54+'La Cruz'!AE54+'La Ligua'!AE54+Limache!AE54+Nogales!AE54+Olmue!AE54+Papudo!AE54+Petorca!AE54+Puchuncavi!AE54+Quillota!AE54+Quilpue!AE54+Quintero!AE54+'Villa Alemana'!AE54+'Viña del Mar'!AE54+Zapallar!AE54</f>
        <v>0</v>
      </c>
      <c r="AF56" s="221">
        <f>+Cabildo!AF54+'La Calera'!AF54+Concón!AF54+Hijuelas!AF54+'La Cruz'!AF54+'La Ligua'!AF54+Limache!AF54+Nogales!AF54+Olmue!AF54+Papudo!AF54+Petorca!AF54+Puchuncavi!AF54+Quillota!AF54+Quilpue!AF54+Quintero!AF54+'Villa Alemana'!AF54+'Viña del Mar'!AF54+Zapallar!AF54</f>
        <v>0</v>
      </c>
      <c r="AG56" s="664">
        <f t="shared" si="9"/>
        <v>173150000</v>
      </c>
      <c r="AH56" s="431">
        <f t="shared" si="10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3"/>
        <v>0</v>
      </c>
      <c r="AX56" s="431">
        <f t="shared" si="11"/>
        <v>173150000</v>
      </c>
    </row>
    <row r="57" spans="1:50" ht="15">
      <c r="A57" s="18">
        <v>22</v>
      </c>
      <c r="B57" s="7" t="s">
        <v>85</v>
      </c>
      <c r="C57" s="147"/>
      <c r="D57" s="21">
        <f>+Cabildo!D55+'La Calera'!D55+Concón!D55+Hijuelas!D55+'La Cruz'!D55+'La Ligua'!D55+Limache!D55+Nogales!D55+Olmue!D55+Papudo!D55+Petorca!D55+Puchuncavi!D55+Quillota!D55+Quilpue!D55+Quintero!D55+'Villa Alemana'!D55+'Viña del Mar'!D55+Zapallar!D55</f>
        <v>151844000</v>
      </c>
      <c r="E57" s="142"/>
      <c r="F57" s="143"/>
      <c r="G57" s="160"/>
      <c r="H57" s="324">
        <f t="shared" si="8"/>
        <v>151844000</v>
      </c>
      <c r="I57" s="252">
        <f>+Cabildo!I55+'La Calera'!I55+Concón!I55+Hijuelas!I55+'La Cruz'!I55+'La Ligua'!I55+Limache!I55+Nogales!I55+Olmue!I55+Papudo!I55+Petorca!I55+Puchuncavi!I55+Quillota!I55+Quilpue!I55+Quintero!I55+'Villa Alemana'!I55+'Viña del Mar'!I55+Zapallar!I55</f>
        <v>0</v>
      </c>
      <c r="J57" s="206">
        <f>+Cabildo!J55+'La Calera'!J55+Concón!J55+Hijuelas!J55+'La Cruz'!J55+'La Ligua'!J55+Limache!J55+Nogales!J55+Olmue!J55+Papudo!J55+Petorca!J55+Puchuncavi!J55+Quillota!J55+Quilpue!J55+Quintero!J55+'Villa Alemana'!J55+'Viña del Mar'!J55+Zapallar!J55</f>
        <v>0</v>
      </c>
      <c r="K57" s="206">
        <f>+Cabildo!K55+'La Calera'!K55+Concón!K55+Hijuelas!K55+'La Cruz'!K55+'La Ligua'!K55+Limache!K55+Nogales!K55+Olmue!K55+Papudo!K55+Petorca!K55+Puchuncavi!K55+Quillota!K55+Quilpue!K55+Quintero!K55+'Villa Alemana'!K55+'Viña del Mar'!K55+Zapallar!K55</f>
        <v>0</v>
      </c>
      <c r="L57" s="206">
        <f>+Cabildo!L55+'La Calera'!L55+Concón!L55+Hijuelas!L55+'La Cruz'!L55+'La Ligua'!L55+Limache!L55+Nogales!L55+Olmue!L55+Papudo!L55+Petorca!L55+Puchuncavi!L55+Quillota!L55+Quilpue!L55+Quintero!L55+'Villa Alemana'!L55+'Viña del Mar'!L55+Zapallar!L55</f>
        <v>0</v>
      </c>
      <c r="M57" s="206">
        <f>+Cabildo!M55+'La Calera'!M55+Concón!M55+Hijuelas!M55+'La Cruz'!M55+'La Ligua'!M55+Limache!M55+Nogales!M55+Olmue!M55+Papudo!M55+Petorca!M55+Puchuncavi!M55+Quillota!M55+Quilpue!M55+Quintero!M55+'Villa Alemana'!M55+'Viña del Mar'!M55+Zapallar!M55</f>
        <v>101707010</v>
      </c>
      <c r="N57" s="206">
        <f>+Cabildo!N55+'La Calera'!N55+Concón!N55+Hijuelas!N55+'La Cruz'!N55+'La Ligua'!N55+Limache!N55+Nogales!N55+Olmue!N55+Papudo!N55+Petorca!N55+Puchuncavi!N55+Quillota!N55+Quilpue!N55+Quintero!N55+'Villa Alemana'!N55+'Viña del Mar'!N55+Zapallar!N55</f>
        <v>4583787</v>
      </c>
      <c r="O57" s="206">
        <f>+Cabildo!O55+'La Calera'!O55+Concón!O55+Hijuelas!O55+'La Cruz'!O55+'La Ligua'!O55+Limache!O55+Nogales!O55+Olmue!O55+Papudo!O55+Petorca!O55+Puchuncavi!O55+Quillota!O55+Quilpue!O55+Quintero!O55+'Villa Alemana'!O55+'Viña del Mar'!O55+Zapallar!O55</f>
        <v>0</v>
      </c>
      <c r="P57" s="206">
        <f>+Cabildo!P55+'La Calera'!P55+Concón!P55+Hijuelas!P55+'La Cruz'!P55+'La Ligua'!P55+Limache!P55+Nogales!P55+Olmue!P55+Papudo!P55+Petorca!P55+Puchuncavi!P55+Quillota!P55+Quilpue!P55+Quintero!P55+'Villa Alemana'!P55+'Viña del Mar'!P55+Zapallar!P55</f>
        <v>0</v>
      </c>
      <c r="Q57" s="206">
        <f>+Cabildo!Q55+'La Calera'!Q55+Concón!Q55+Hijuelas!Q55+'La Cruz'!Q55+'La Ligua'!Q55+Limache!Q55+Nogales!Q55+Olmue!Q55+Papudo!Q55+Petorca!Q55+Puchuncavi!Q55+Quillota!Q55+Quilpue!Q55+Quintero!Q55+'Villa Alemana'!Q55+'Viña del Mar'!Q55+Zapallar!Q55</f>
        <v>0</v>
      </c>
      <c r="R57" s="560">
        <f>+Cabildo!R55+'La Calera'!R55+Concón!R55+Hijuelas!R55+'La Cruz'!R55+'La Ligua'!R55+Limache!R55+Nogales!R55+Olmue!R55+Papudo!R55+Petorca!R55+Puchuncavi!R55+Quillota!R55+Quilpue!R55+Quintero!R55+'Villa Alemana'!R55+'Viña del Mar'!R55+Zapallar!R55</f>
        <v>45553203</v>
      </c>
      <c r="S57" s="206">
        <f>+Cabildo!S55+'La Calera'!S55+Concón!S55+Hijuelas!S55+'La Cruz'!S55+'La Ligua'!S55+Limache!S55+Nogales!S55+Olmue!S55+Papudo!S55+Petorca!S55+Puchuncavi!S55+Quillota!S55+Quilpue!S55+Quintero!S55+'Villa Alemana'!S55+'Viña del Mar'!S55+Zapallar!S55</f>
        <v>0</v>
      </c>
      <c r="T57" s="227">
        <f>+Cabildo!T55+'La Calera'!T55+Concón!T55+Hijuelas!T55+'La Cruz'!T55+'La Ligua'!T55+Limache!T55+Nogales!T55+Olmue!T55+Papudo!T55+Petorca!T55+Puchuncavi!T55+Quillota!T55+Quilpue!T55+Quintero!T55+'Villa Alemana'!T55+'Viña del Mar'!T55+Zapallar!T55</f>
        <v>0</v>
      </c>
      <c r="U57" s="235">
        <f>+Cabildo!U55+'La Calera'!U55+Concón!U55+Hijuelas!U55+'La Cruz'!U55+'La Ligua'!U55+Limache!U55+Nogales!U55+Olmue!U55+Papudo!U55+Petorca!U55+Puchuncavi!U55+Quillota!U55+Quilpue!U55+Quintero!U55+'Villa Alemana'!U55+'Viña del Mar'!U55+Zapallar!U55</f>
        <v>0</v>
      </c>
      <c r="V57" s="206">
        <f>+Cabildo!V55+'La Calera'!V55+Concón!V55+Hijuelas!V55+'La Cruz'!V55+'La Ligua'!V55+Limache!V55+Nogales!V55+Olmue!V55+Papudo!V55+Petorca!V55+Puchuncavi!V55+Quillota!V55+Quilpue!V55+Quintero!V55+'Villa Alemana'!V55+'Viña del Mar'!V55+Zapallar!V55</f>
        <v>0</v>
      </c>
      <c r="W57" s="206">
        <f>+Cabildo!W55+'La Calera'!W55+Concón!W55+Hijuelas!W55+'La Cruz'!W55+'La Ligua'!W55+Limache!W55+Nogales!W55+Olmue!W55+Papudo!W55+Petorca!W55+Puchuncavi!W55+Quillota!W55+Quilpue!W55+Quintero!W55+'Villa Alemana'!W55+'Viña del Mar'!W55+Zapallar!W55</f>
        <v>0</v>
      </c>
      <c r="X57" s="206">
        <f>+Cabildo!X55+'La Calera'!X55+Concón!X55+Hijuelas!X55+'La Cruz'!X55+'La Ligua'!X55+Limache!X55+Nogales!X55+Olmue!X55+Papudo!X55+Petorca!X55+Puchuncavi!X55+Quillota!X55+Quilpue!X55+Quintero!X55+'Villa Alemana'!X55+'Viña del Mar'!X55+Zapallar!X55</f>
        <v>0</v>
      </c>
      <c r="Y57" s="206">
        <f>+Cabildo!Y55+'La Calera'!Y55+Concón!Y55+Hijuelas!Y55+'La Cruz'!Y55+'La Ligua'!Y55+Limache!Y55+Nogales!Y55+Olmue!Y55+Papudo!Y55+Petorca!Y55+Puchuncavi!Y55+Quillota!Y55+Quilpue!Y55+Quintero!Y55+'Villa Alemana'!Y55+'Viña del Mar'!Y55+Zapallar!Y55</f>
        <v>101707010</v>
      </c>
      <c r="Z57" s="206">
        <f>+Cabildo!Z55+'La Calera'!Z55+Concón!Z55+Hijuelas!Z55+'La Cruz'!Z55+'La Ligua'!Z55+Limache!Z55+Nogales!Z55+Olmue!Z55+Papudo!Z55+Petorca!Z55+Puchuncavi!Z55+Quillota!Z55+Quilpue!Z55+Quintero!Z55+'Villa Alemana'!Z55+'Viña del Mar'!Z55+Zapallar!Z55</f>
        <v>4583787</v>
      </c>
      <c r="AA57" s="206">
        <f>+Cabildo!AA55+'La Calera'!AA55+Concón!AA55+Hijuelas!AA55+'La Cruz'!AA55+'La Ligua'!AA55+Limache!AA55+Nogales!AA55+Olmue!AA55+Papudo!AA55+Petorca!AA55+Puchuncavi!AA55+Quillota!AA55+Quilpue!AA55+Quintero!AA55+'Villa Alemana'!AA55+'Viña del Mar'!AA55+Zapallar!AA55</f>
        <v>0</v>
      </c>
      <c r="AB57" s="206">
        <f>+Cabildo!AB55+'La Calera'!AB55+Concón!AB55+Hijuelas!AB55+'La Cruz'!AB55+'La Ligua'!AB55+Limache!AB55+Nogales!AB55+Olmue!AB55+Papudo!AB55+Petorca!AB55+Puchuncavi!AB55+Quillota!AB55+Quilpue!AB55+Quintero!AB55+'Villa Alemana'!AB55+'Viña del Mar'!AB55+Zapallar!AB55</f>
        <v>0</v>
      </c>
      <c r="AC57" s="206">
        <f>+Cabildo!AC55+'La Calera'!AC55+Concón!AC55+Hijuelas!AC55+'La Cruz'!AC55+'La Ligua'!AC55+Limache!AC55+Nogales!AC55+Olmue!AC55+Papudo!AC55+Petorca!AC55+Puchuncavi!AC55+Quillota!AC55+Quilpue!AC55+Quintero!AC55+'Villa Alemana'!AC55+'Viña del Mar'!AC55+Zapallar!AC55</f>
        <v>0</v>
      </c>
      <c r="AD57" s="206">
        <f>+Cabildo!AD55+'La Calera'!AD55+Concón!AD55+Hijuelas!AD55+'La Cruz'!AD55+'La Ligua'!AD55+Limache!AD55+Nogales!AD55+Olmue!AD55+Papudo!AD55+Petorca!AD55+Puchuncavi!AD55+Quillota!AD55+Quilpue!AD55+Quintero!AD55+'Villa Alemana'!AD55+'Viña del Mar'!AD55+Zapallar!AD55</f>
        <v>45553203</v>
      </c>
      <c r="AE57" s="206">
        <f>+Cabildo!AE55+'La Calera'!AE55+Concón!AE55+Hijuelas!AE55+'La Cruz'!AE55+'La Ligua'!AE55+Limache!AE55+Nogales!AE55+Olmue!AE55+Papudo!AE55+Petorca!AE55+Puchuncavi!AE55+Quillota!AE55+Quilpue!AE55+Quintero!AE55+'Villa Alemana'!AE55+'Viña del Mar'!AE55+Zapallar!AE55</f>
        <v>0</v>
      </c>
      <c r="AF57" s="221">
        <f>+Cabildo!AF55+'La Calera'!AF55+Concón!AF55+Hijuelas!AF55+'La Cruz'!AF55+'La Ligua'!AF55+Limache!AF55+Nogales!AF55+Olmue!AF55+Papudo!AF55+Petorca!AF55+Puchuncavi!AF55+Quillota!AF55+Quilpue!AF55+Quintero!AF55+'Villa Alemana'!AF55+'Viña del Mar'!AF55+Zapallar!AF55</f>
        <v>0</v>
      </c>
      <c r="AG57" s="664">
        <f t="shared" si="9"/>
        <v>151844000</v>
      </c>
      <c r="AH57" s="431">
        <f t="shared" si="10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3"/>
        <v>0</v>
      </c>
      <c r="AX57" s="431">
        <f t="shared" si="11"/>
        <v>151844000</v>
      </c>
    </row>
    <row r="58" spans="1:50" ht="15">
      <c r="A58" s="18">
        <v>23</v>
      </c>
      <c r="B58" s="7" t="s">
        <v>86</v>
      </c>
      <c r="C58" s="147"/>
      <c r="D58" s="21">
        <f>+Cabildo!D56+'La Calera'!D56+Concón!D56+Hijuelas!D56+'La Cruz'!D56+'La Ligua'!D56+Limache!D56+Nogales!D56+Olmue!D56+Papudo!D56+Petorca!D56+Puchuncavi!D56+Quillota!D56+Quilpue!D56+Quintero!D56+'Villa Alemana'!D56+'Viña del Mar'!D56+Zapallar!D56</f>
        <v>80557000</v>
      </c>
      <c r="E58" s="142"/>
      <c r="F58" s="143"/>
      <c r="G58" s="160"/>
      <c r="H58" s="324">
        <f t="shared" si="8"/>
        <v>80557000</v>
      </c>
      <c r="I58" s="252">
        <f>+Cabildo!I56+'La Calera'!I56+Concón!I56+Hijuelas!I56+'La Cruz'!I56+'La Ligua'!I56+Limache!I56+Nogales!I56+Olmue!I56+Papudo!I56+Petorca!I56+Puchuncavi!I56+Quillota!I56+Quilpue!I56+Quintero!I56+'Villa Alemana'!I56+'Viña del Mar'!I56+Zapallar!I56</f>
        <v>0</v>
      </c>
      <c r="J58" s="206">
        <f>+Cabildo!J56+'La Calera'!J56+Concón!J56+Hijuelas!J56+'La Cruz'!J56+'La Ligua'!J56+Limache!J56+Nogales!J56+Olmue!J56+Papudo!J56+Petorca!J56+Puchuncavi!J56+Quillota!J56+Quilpue!J56+Quintero!J56+'Villa Alemana'!J56+'Viña del Mar'!J56+Zapallar!J56</f>
        <v>0</v>
      </c>
      <c r="K58" s="206">
        <f>+Cabildo!K56+'La Calera'!K56+Concón!K56+Hijuelas!K56+'La Cruz'!K56+'La Ligua'!K56+Limache!K56+Nogales!K56+Olmue!K56+Papudo!K56+Petorca!K56+Puchuncavi!K56+Quillota!K56+Quilpue!K56+Quintero!K56+'Villa Alemana'!K56+'Viña del Mar'!K56+Zapallar!K56</f>
        <v>56389900</v>
      </c>
      <c r="L58" s="206">
        <f>+Cabildo!L56+'La Calera'!L56+Concón!L56+Hijuelas!L56+'La Cruz'!L56+'La Ligua'!L56+Limache!L56+Nogales!L56+Olmue!L56+Papudo!L56+Petorca!L56+Puchuncavi!L56+Quillota!L56+Quilpue!L56+Quintero!L56+'Villa Alemana'!L56+'Viña del Mar'!L56+Zapallar!L56</f>
        <v>0</v>
      </c>
      <c r="M58" s="206">
        <f>+Cabildo!M56+'La Calera'!M56+Concón!M56+Hijuelas!M56+'La Cruz'!M56+'La Ligua'!M56+Limache!M56+Nogales!M56+Olmue!M56+Papudo!M56+Petorca!M56+Puchuncavi!M56+Quillota!M56+Quilpue!M56+Quintero!M56+'Villa Alemana'!M56+'Viña del Mar'!M56+Zapallar!M56</f>
        <v>0</v>
      </c>
      <c r="N58" s="206">
        <f>+Cabildo!N56+'La Calera'!N56+Concón!N56+Hijuelas!N56+'La Cruz'!N56+'La Ligua'!N56+Limache!N56+Nogales!N56+Olmue!N56+Papudo!N56+Petorca!N56+Puchuncavi!N56+Quillota!N56+Quilpue!N56+Quintero!N56+'Villa Alemana'!N56+'Viña del Mar'!N56+Zapallar!N56</f>
        <v>0</v>
      </c>
      <c r="O58" s="206">
        <f>+Cabildo!O56+'La Calera'!O56+Concón!O56+Hijuelas!O56+'La Cruz'!O56+'La Ligua'!O56+Limache!O56+Nogales!O56+Olmue!O56+Papudo!O56+Petorca!O56+Puchuncavi!O56+Quillota!O56+Quilpue!O56+Quintero!O56+'Villa Alemana'!O56+'Viña del Mar'!O56+Zapallar!O56</f>
        <v>0</v>
      </c>
      <c r="P58" s="206">
        <f>+Cabildo!P56+'La Calera'!P56+Concón!P56+Hijuelas!P56+'La Cruz'!P56+'La Ligua'!P56+Limache!P56+Nogales!P56+Olmue!P56+Papudo!P56+Petorca!P56+Puchuncavi!P56+Quillota!P56+Quilpue!P56+Quintero!P56+'Villa Alemana'!P56+'Viña del Mar'!P56+Zapallar!P56</f>
        <v>0</v>
      </c>
      <c r="Q58" s="206">
        <f>+Cabildo!Q56+'La Calera'!Q56+Concón!Q56+Hijuelas!Q56+'La Cruz'!Q56+'La Ligua'!Q56+Limache!Q56+Nogales!Q56+Olmue!Q56+Papudo!Q56+Petorca!Q56+Puchuncavi!Q56+Quillota!Q56+Quilpue!Q56+Quintero!Q56+'Villa Alemana'!Q56+'Viña del Mar'!Q56+Zapallar!Q56</f>
        <v>0</v>
      </c>
      <c r="R58" s="560">
        <f>+Cabildo!R56+'La Calera'!R56+Concón!R56+Hijuelas!R56+'La Cruz'!R56+'La Ligua'!R56+Limache!R56+Nogales!R56+Olmue!R56+Papudo!R56+Petorca!R56+Puchuncavi!R56+Quillota!R56+Quilpue!R56+Quintero!R56+'Villa Alemana'!R56+'Viña del Mar'!R56+Zapallar!R56</f>
        <v>24167100</v>
      </c>
      <c r="S58" s="206">
        <f>+Cabildo!S56+'La Calera'!S56+Concón!S56+Hijuelas!S56+'La Cruz'!S56+'La Ligua'!S56+Limache!S56+Nogales!S56+Olmue!S56+Papudo!S56+Petorca!S56+Puchuncavi!S56+Quillota!S56+Quilpue!S56+Quintero!S56+'Villa Alemana'!S56+'Viña del Mar'!S56+Zapallar!S56</f>
        <v>0</v>
      </c>
      <c r="T58" s="227">
        <f>+Cabildo!T56+'La Calera'!T56+Concón!T56+Hijuelas!T56+'La Cruz'!T56+'La Ligua'!T56+Limache!T56+Nogales!T56+Olmue!T56+Papudo!T56+Petorca!T56+Puchuncavi!T56+Quillota!T56+Quilpue!T56+Quintero!T56+'Villa Alemana'!T56+'Viña del Mar'!T56+Zapallar!T56</f>
        <v>0</v>
      </c>
      <c r="U58" s="235">
        <f>+Cabildo!U56+'La Calera'!U56+Concón!U56+Hijuelas!U56+'La Cruz'!U56+'La Ligua'!U56+Limache!U56+Nogales!U56+Olmue!U56+Papudo!U56+Petorca!U56+Puchuncavi!U56+Quillota!U56+Quilpue!U56+Quintero!U56+'Villa Alemana'!U56+'Viña del Mar'!U56+Zapallar!U56</f>
        <v>0</v>
      </c>
      <c r="V58" s="206">
        <f>+Cabildo!V56+'La Calera'!V56+Concón!V56+Hijuelas!V56+'La Cruz'!V56+'La Ligua'!V56+Limache!V56+Nogales!V56+Olmue!V56+Papudo!V56+Petorca!V56+Puchuncavi!V56+Quillota!V56+Quilpue!V56+Quintero!V56+'Villa Alemana'!V56+'Viña del Mar'!V56+Zapallar!V56</f>
        <v>0</v>
      </c>
      <c r="W58" s="206">
        <f>+Cabildo!W56+'La Calera'!W56+Concón!W56+Hijuelas!W56+'La Cruz'!W56+'La Ligua'!W56+Limache!W56+Nogales!W56+Olmue!W56+Papudo!W56+Petorca!W56+Puchuncavi!W56+Quillota!W56+Quilpue!W56+Quintero!W56+'Villa Alemana'!W56+'Viña del Mar'!W56+Zapallar!W56</f>
        <v>56389900</v>
      </c>
      <c r="X58" s="206">
        <f>+Cabildo!X56+'La Calera'!X56+Concón!X56+Hijuelas!X56+'La Cruz'!X56+'La Ligua'!X56+Limache!X56+Nogales!X56+Olmue!X56+Papudo!X56+Petorca!X56+Puchuncavi!X56+Quillota!X56+Quilpue!X56+Quintero!X56+'Villa Alemana'!X56+'Viña del Mar'!X56+Zapallar!X56</f>
        <v>0</v>
      </c>
      <c r="Y58" s="206">
        <f>+Cabildo!Y56+'La Calera'!Y56+Concón!Y56+Hijuelas!Y56+'La Cruz'!Y56+'La Ligua'!Y56+Limache!Y56+Nogales!Y56+Olmue!Y56+Papudo!Y56+Petorca!Y56+Puchuncavi!Y56+Quillota!Y56+Quilpue!Y56+Quintero!Y56+'Villa Alemana'!Y56+'Viña del Mar'!Y56+Zapallar!Y56</f>
        <v>0</v>
      </c>
      <c r="Z58" s="206">
        <f>+Cabildo!Z56+'La Calera'!Z56+Concón!Z56+Hijuelas!Z56+'La Cruz'!Z56+'La Ligua'!Z56+Limache!Z56+Nogales!Z56+Olmue!Z56+Papudo!Z56+Petorca!Z56+Puchuncavi!Z56+Quillota!Z56+Quilpue!Z56+Quintero!Z56+'Villa Alemana'!Z56+'Viña del Mar'!Z56+Zapallar!Z56</f>
        <v>0</v>
      </c>
      <c r="AA58" s="206">
        <f>+Cabildo!AA56+'La Calera'!AA56+Concón!AA56+Hijuelas!AA56+'La Cruz'!AA56+'La Ligua'!AA56+Limache!AA56+Nogales!AA56+Olmue!AA56+Papudo!AA56+Petorca!AA56+Puchuncavi!AA56+Quillota!AA56+Quilpue!AA56+Quintero!AA56+'Villa Alemana'!AA56+'Viña del Mar'!AA56+Zapallar!AA56</f>
        <v>0</v>
      </c>
      <c r="AB58" s="206">
        <f>+Cabildo!AB56+'La Calera'!AB56+Concón!AB56+Hijuelas!AB56+'La Cruz'!AB56+'La Ligua'!AB56+Limache!AB56+Nogales!AB56+Olmue!AB56+Papudo!AB56+Petorca!AB56+Puchuncavi!AB56+Quillota!AB56+Quilpue!AB56+Quintero!AB56+'Villa Alemana'!AB56+'Viña del Mar'!AB56+Zapallar!AB56</f>
        <v>0</v>
      </c>
      <c r="AC58" s="206">
        <f>+Cabildo!AC56+'La Calera'!AC56+Concón!AC56+Hijuelas!AC56+'La Cruz'!AC56+'La Ligua'!AC56+Limache!AC56+Nogales!AC56+Olmue!AC56+Papudo!AC56+Petorca!AC56+Puchuncavi!AC56+Quillota!AC56+Quilpue!AC56+Quintero!AC56+'Villa Alemana'!AC56+'Viña del Mar'!AC56+Zapallar!AC56</f>
        <v>0</v>
      </c>
      <c r="AD58" s="206">
        <f>+Cabildo!AD56+'La Calera'!AD56+Concón!AD56+Hijuelas!AD56+'La Cruz'!AD56+'La Ligua'!AD56+Limache!AD56+Nogales!AD56+Olmue!AD56+Papudo!AD56+Petorca!AD56+Puchuncavi!AD56+Quillota!AD56+Quilpue!AD56+Quintero!AD56+'Villa Alemana'!AD56+'Viña del Mar'!AD56+Zapallar!AD56</f>
        <v>24167100</v>
      </c>
      <c r="AE58" s="206">
        <f>+Cabildo!AE56+'La Calera'!AE56+Concón!AE56+Hijuelas!AE56+'La Cruz'!AE56+'La Ligua'!AE56+Limache!AE56+Nogales!AE56+Olmue!AE56+Papudo!AE56+Petorca!AE56+Puchuncavi!AE56+Quillota!AE56+Quilpue!AE56+Quintero!AE56+'Villa Alemana'!AE56+'Viña del Mar'!AE56+Zapallar!AE56</f>
        <v>0</v>
      </c>
      <c r="AF58" s="221">
        <f>+Cabildo!AF56+'La Calera'!AF56+Concón!AF56+Hijuelas!AF56+'La Cruz'!AF56+'La Ligua'!AF56+Limache!AF56+Nogales!AF56+Olmue!AF56+Papudo!AF56+Petorca!AF56+Puchuncavi!AF56+Quillota!AF56+Quilpue!AF56+Quintero!AF56+'Villa Alemana'!AF56+'Viña del Mar'!AF56+Zapallar!AF56</f>
        <v>0</v>
      </c>
      <c r="AG58" s="664">
        <f t="shared" si="9"/>
        <v>80557000</v>
      </c>
      <c r="AH58" s="431">
        <f t="shared" si="10"/>
        <v>0</v>
      </c>
      <c r="AK58" s="235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27"/>
      <c r="AW58" s="228">
        <f t="shared" si="13"/>
        <v>0</v>
      </c>
      <c r="AX58" s="431">
        <f t="shared" si="11"/>
        <v>80557000</v>
      </c>
    </row>
    <row r="59" spans="1:50" ht="15">
      <c r="A59" s="18">
        <v>24</v>
      </c>
      <c r="B59" s="7" t="s">
        <v>87</v>
      </c>
      <c r="C59" s="147"/>
      <c r="D59" s="21">
        <f>+Cabildo!D57+'La Calera'!D57+Concón!D57+Hijuelas!D57+'La Cruz'!D57+'La Ligua'!D57+Limache!D57+Nogales!D57+Olmue!D57+Papudo!D57+Petorca!D57+Puchuncavi!D57+Quillota!D57+Quilpue!D57+Quintero!D57+'Villa Alemana'!D57+'Viña del Mar'!D57+Zapallar!D57</f>
        <v>352318000</v>
      </c>
      <c r="E59" s="142"/>
      <c r="F59" s="143"/>
      <c r="G59" s="160"/>
      <c r="H59" s="324">
        <f t="shared" si="8"/>
        <v>352318000</v>
      </c>
      <c r="I59" s="252">
        <f>+Cabildo!I57+'La Calera'!I57+Concón!I57+Hijuelas!I57+'La Cruz'!I57+'La Ligua'!I57+Limache!I57+Nogales!I57+Olmue!I57+Papudo!I57+Petorca!I57+Puchuncavi!I57+Quillota!I57+Quilpue!I57+Quintero!I57+'Villa Alemana'!I57+'Viña del Mar'!I57+Zapallar!I57</f>
        <v>0</v>
      </c>
      <c r="J59" s="206">
        <f>+Cabildo!J57+'La Calera'!J57+Concón!J57+Hijuelas!J57+'La Cruz'!J57+'La Ligua'!J57+Limache!J57+Nogales!J57+Olmue!J57+Papudo!J57+Petorca!J57+Puchuncavi!J57+Quillota!J57+Quilpue!J57+Quintero!J57+'Villa Alemana'!J57+'Viña del Mar'!J57+Zapallar!J57</f>
        <v>0</v>
      </c>
      <c r="K59" s="206">
        <f>+Cabildo!K57+'La Calera'!K57+Concón!K57+Hijuelas!K57+'La Cruz'!K57+'La Ligua'!K57+Limache!K57+Nogales!K57+Olmue!K57+Papudo!K57+Petorca!K57+Puchuncavi!K57+Quillota!K57+Quilpue!K57+Quintero!K57+'Villa Alemana'!K57+'Viña del Mar'!K57+Zapallar!K57</f>
        <v>77532497</v>
      </c>
      <c r="L59" s="206">
        <f>+Cabildo!L57+'La Calera'!L57+Concón!L57+Hijuelas!L57+'La Cruz'!L57+'La Ligua'!L57+Limache!L57+Nogales!L57+Olmue!L57+Papudo!L57+Petorca!L57+Puchuncavi!L57+Quillota!L57+Quilpue!L57+Quintero!L57+'Villa Alemana'!L57+'Viña del Mar'!L57+Zapallar!L57</f>
        <v>156987148</v>
      </c>
      <c r="M59" s="206">
        <f>+Cabildo!M57+'La Calera'!M57+Concón!M57+Hijuelas!M57+'La Cruz'!M57+'La Ligua'!M57+Limache!M57+Nogales!M57+Olmue!M57+Papudo!M57+Petorca!M57+Puchuncavi!M57+Quillota!M57+Quilpue!M57+Quintero!M57+'Villa Alemana'!M57+'Viña del Mar'!M57+Zapallar!M57</f>
        <v>7261771</v>
      </c>
      <c r="N59" s="206">
        <f>+Cabildo!N57+'La Calera'!N57+Concón!N57+Hijuelas!N57+'La Cruz'!N57+'La Ligua'!N57+Limache!N57+Nogales!N57+Olmue!N57+Papudo!N57+Petorca!N57+Puchuncavi!N57+Quillota!N57+Quilpue!N57+Quintero!N57+'Villa Alemana'!N57+'Viña del Mar'!N57+Zapallar!N57</f>
        <v>4841181</v>
      </c>
      <c r="O59" s="206">
        <f>+Cabildo!O57+'La Calera'!O57+Concón!O57+Hijuelas!O57+'La Cruz'!O57+'La Ligua'!O57+Limache!O57+Nogales!O57+Olmue!O57+Papudo!O57+Petorca!O57+Puchuncavi!O57+Quillota!O57+Quilpue!O57+Quintero!O57+'Villa Alemana'!O57+'Viña del Mar'!O57+Zapallar!O57</f>
        <v>0</v>
      </c>
      <c r="P59" s="206">
        <f>+Cabildo!P57+'La Calera'!P57+Concón!P57+Hijuelas!P57+'La Cruz'!P57+'La Ligua'!P57+Limache!P57+Nogales!P57+Olmue!P57+Papudo!P57+Petorca!P57+Puchuncavi!P57+Quillota!P57+Quilpue!P57+Quintero!P57+'Villa Alemana'!P57+'Viña del Mar'!P57+Zapallar!P57</f>
        <v>0</v>
      </c>
      <c r="Q59" s="206">
        <f>+Cabildo!Q57+'La Calera'!Q57+Concón!Q57+Hijuelas!Q57+'La Cruz'!Q57+'La Ligua'!Q57+Limache!Q57+Nogales!Q57+Olmue!Q57+Papudo!Q57+Petorca!Q57+Puchuncavi!Q57+Quillota!Q57+Quilpue!Q57+Quintero!Q57+'Villa Alemana'!Q57+'Viña del Mar'!Q57+Zapallar!Q57</f>
        <v>0</v>
      </c>
      <c r="R59" s="560">
        <f>+Cabildo!R57+'La Calera'!R57+Concón!R57+Hijuelas!R57+'La Cruz'!R57+'La Ligua'!R57+Limache!R57+Nogales!R57+Olmue!R57+Papudo!R57+Petorca!R57+Puchuncavi!R57+Quillota!R57+Quilpue!R57+Quintero!R57+'Villa Alemana'!R57+'Viña del Mar'!R57+Zapallar!R57</f>
        <v>105695403</v>
      </c>
      <c r="S59" s="206">
        <f>+Cabildo!S57+'La Calera'!S57+Concón!S57+Hijuelas!S57+'La Cruz'!S57+'La Ligua'!S57+Limache!S57+Nogales!S57+Olmue!S57+Papudo!S57+Petorca!S57+Puchuncavi!S57+Quillota!S57+Quilpue!S57+Quintero!S57+'Villa Alemana'!S57+'Viña del Mar'!S57+Zapallar!S57</f>
        <v>0</v>
      </c>
      <c r="T59" s="227">
        <f>+Cabildo!T57+'La Calera'!T57+Concón!T57+Hijuelas!T57+'La Cruz'!T57+'La Ligua'!T57+Limache!T57+Nogales!T57+Olmue!T57+Papudo!T57+Petorca!T57+Puchuncavi!T57+Quillota!T57+Quilpue!T57+Quintero!T57+'Villa Alemana'!T57+'Viña del Mar'!T57+Zapallar!T57</f>
        <v>0</v>
      </c>
      <c r="U59" s="235">
        <f>+Cabildo!U57+'La Calera'!U57+Concón!U57+Hijuelas!U57+'La Cruz'!U57+'La Ligua'!U57+Limache!U57+Nogales!U57+Olmue!U57+Papudo!U57+Petorca!U57+Puchuncavi!U57+Quillota!U57+Quilpue!U57+Quintero!U57+'Villa Alemana'!U57+'Viña del Mar'!U57+Zapallar!U57</f>
        <v>0</v>
      </c>
      <c r="V59" s="206">
        <f>+Cabildo!V57+'La Calera'!V57+Concón!V57+Hijuelas!V57+'La Cruz'!V57+'La Ligua'!V57+Limache!V57+Nogales!V57+Olmue!V57+Papudo!V57+Petorca!V57+Puchuncavi!V57+Quillota!V57+Quilpue!V57+Quintero!V57+'Villa Alemana'!V57+'Viña del Mar'!V57+Zapallar!V57</f>
        <v>0</v>
      </c>
      <c r="W59" s="206">
        <f>+Cabildo!W57+'La Calera'!W57+Concón!W57+Hijuelas!W57+'La Cruz'!W57+'La Ligua'!W57+Limache!W57+Nogales!W57+Olmue!W57+Papudo!W57+Petorca!W57+Puchuncavi!W57+Quillota!W57+Quilpue!W57+Quintero!W57+'Villa Alemana'!W57+'Viña del Mar'!W57+Zapallar!W57</f>
        <v>77532497</v>
      </c>
      <c r="X59" s="206">
        <f>+Cabildo!X57+'La Calera'!X57+Concón!X57+Hijuelas!X57+'La Cruz'!X57+'La Ligua'!X57+Limache!X57+Nogales!X57+Olmue!X57+Papudo!X57+Petorca!X57+Puchuncavi!X57+Quillota!X57+Quilpue!X57+Quintero!X57+'Villa Alemana'!X57+'Viña del Mar'!X57+Zapallar!X57</f>
        <v>156987148</v>
      </c>
      <c r="Y59" s="206">
        <f>+Cabildo!Y57+'La Calera'!Y57+Concón!Y57+Hijuelas!Y57+'La Cruz'!Y57+'La Ligua'!Y57+Limache!Y57+Nogales!Y57+Olmue!Y57+Papudo!Y57+Petorca!Y57+Puchuncavi!Y57+Quillota!Y57+Quilpue!Y57+Quintero!Y57+'Villa Alemana'!Y57+'Viña del Mar'!Y57+Zapallar!Y57</f>
        <v>7261771</v>
      </c>
      <c r="Z59" s="206">
        <f>+Cabildo!Z57+'La Calera'!Z57+Concón!Z57+Hijuelas!Z57+'La Cruz'!Z57+'La Ligua'!Z57+Limache!Z57+Nogales!Z57+Olmue!Z57+Papudo!Z57+Petorca!Z57+Puchuncavi!Z57+Quillota!Z57+Quilpue!Z57+Quintero!Z57+'Villa Alemana'!Z57+'Viña del Mar'!Z57+Zapallar!Z57</f>
        <v>4841181</v>
      </c>
      <c r="AA59" s="206">
        <f>+Cabildo!AA57+'La Calera'!AA57+Concón!AA57+Hijuelas!AA57+'La Cruz'!AA57+'La Ligua'!AA57+Limache!AA57+Nogales!AA57+Olmue!AA57+Papudo!AA57+Petorca!AA57+Puchuncavi!AA57+Quillota!AA57+Quilpue!AA57+Quintero!AA57+'Villa Alemana'!AA57+'Viña del Mar'!AA57+Zapallar!AA57</f>
        <v>0</v>
      </c>
      <c r="AB59" s="206">
        <f>+Cabildo!AB57+'La Calera'!AB57+Concón!AB57+Hijuelas!AB57+'La Cruz'!AB57+'La Ligua'!AB57+Limache!AB57+Nogales!AB57+Olmue!AB57+Papudo!AB57+Petorca!AB57+Puchuncavi!AB57+Quillota!AB57+Quilpue!AB57+Quintero!AB57+'Villa Alemana'!AB57+'Viña del Mar'!AB57+Zapallar!AB57</f>
        <v>0</v>
      </c>
      <c r="AC59" s="206">
        <f>+Cabildo!AC57+'La Calera'!AC57+Concón!AC57+Hijuelas!AC57+'La Cruz'!AC57+'La Ligua'!AC57+Limache!AC57+Nogales!AC57+Olmue!AC57+Papudo!AC57+Petorca!AC57+Puchuncavi!AC57+Quillota!AC57+Quilpue!AC57+Quintero!AC57+'Villa Alemana'!AC57+'Viña del Mar'!AC57+Zapallar!AC57</f>
        <v>0</v>
      </c>
      <c r="AD59" s="206">
        <f>+Cabildo!AD57+'La Calera'!AD57+Concón!AD57+Hijuelas!AD57+'La Cruz'!AD57+'La Ligua'!AD57+Limache!AD57+Nogales!AD57+Olmue!AD57+Papudo!AD57+Petorca!AD57+Puchuncavi!AD57+Quillota!AD57+Quilpue!AD57+Quintero!AD57+'Villa Alemana'!AD57+'Viña del Mar'!AD57+Zapallar!AD57</f>
        <v>105695403</v>
      </c>
      <c r="AE59" s="206">
        <f>+Cabildo!AE57+'La Calera'!AE57+Concón!AE57+Hijuelas!AE57+'La Cruz'!AE57+'La Ligua'!AE57+Limache!AE57+Nogales!AE57+Olmue!AE57+Papudo!AE57+Petorca!AE57+Puchuncavi!AE57+Quillota!AE57+Quilpue!AE57+Quintero!AE57+'Villa Alemana'!AE57+'Viña del Mar'!AE57+Zapallar!AE57</f>
        <v>0</v>
      </c>
      <c r="AF59" s="221">
        <f>+Cabildo!AF57+'La Calera'!AF57+Concón!AF57+Hijuelas!AF57+'La Cruz'!AF57+'La Ligua'!AF57+Limache!AF57+Nogales!AF57+Olmue!AF57+Papudo!AF57+Petorca!AF57+Puchuncavi!AF57+Quillota!AF57+Quilpue!AF57+Quintero!AF57+'Villa Alemana'!AF57+'Viña del Mar'!AF57+Zapallar!AF57</f>
        <v>0</v>
      </c>
      <c r="AG59" s="664">
        <f t="shared" si="9"/>
        <v>352318000</v>
      </c>
      <c r="AH59" s="431">
        <f t="shared" si="10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3"/>
        <v>0</v>
      </c>
      <c r="AX59" s="431">
        <f t="shared" si="11"/>
        <v>352318000</v>
      </c>
    </row>
    <row r="60" spans="1:50" s="190" customFormat="1" ht="28.5">
      <c r="A60" s="18">
        <v>25</v>
      </c>
      <c r="B60" s="182" t="s">
        <v>109</v>
      </c>
      <c r="C60" s="181"/>
      <c r="D60" s="21">
        <f>+Cabildo!D58+'La Calera'!D58+Concón!D58+Hijuelas!D58+'La Cruz'!D58+'La Ligua'!D58+Limache!D58+Nogales!D58+Olmue!D58+Papudo!D58+Petorca!D58+Puchuncavi!D58+Quillota!D58+Quilpue!D58+Quintero!D58+'Villa Alemana'!D58+'Viña del Mar'!D58+Zapallar!D58</f>
        <v>171093986</v>
      </c>
      <c r="E60" s="184">
        <f>+D60*E33</f>
        <v>119765790.19999999</v>
      </c>
      <c r="F60" s="185">
        <f>+D60*F33</f>
        <v>51328195.799999997</v>
      </c>
      <c r="G60" s="341"/>
      <c r="H60" s="324">
        <f t="shared" si="8"/>
        <v>168263000</v>
      </c>
      <c r="I60" s="252">
        <f>+Cabildo!I58+'La Calera'!I58+Concón!I58+Hijuelas!I58+'La Cruz'!I58+'La Ligua'!I58+Limache!I58+Nogales!I58+Olmue!I58+Papudo!I58+Petorca!I58+Puchuncavi!I58+Quillota!I58+Quilpue!I58+Quintero!I58+'Villa Alemana'!I58+'Viña del Mar'!I58+Zapallar!I58</f>
        <v>0</v>
      </c>
      <c r="J60" s="206">
        <f>+Cabildo!J58+'La Calera'!J58+Concón!J58+Hijuelas!J58+'La Cruz'!J58+'La Ligua'!J58+Limache!J58+Nogales!J58+Olmue!J58+Papudo!J58+Petorca!J58+Puchuncavi!J58+Quillota!J58+Quilpue!J58+Quintero!J58+'Villa Alemana'!J58+'Viña del Mar'!J58+Zapallar!J58</f>
        <v>0</v>
      </c>
      <c r="K60" s="206">
        <f>+Cabildo!K58+'La Calera'!K58+Concón!K58+Hijuelas!K58+'La Cruz'!K58+'La Ligua'!K58+Limache!K58+Nogales!K58+Olmue!K58+Papudo!K58+Petorca!K58+Puchuncavi!K58+Quillota!K58+Quilpue!K58+Quintero!K58+'Villa Alemana'!K58+'Viña del Mar'!K58+Zapallar!K58</f>
        <v>33953823</v>
      </c>
      <c r="L60" s="206">
        <f>+Cabildo!L58+'La Calera'!L58+Concón!L58+Hijuelas!L58+'La Cruz'!L58+'La Ligua'!L58+Limache!L58+Nogales!L58+Olmue!L58+Papudo!L58+Petorca!L58+Puchuncavi!L58+Quillota!L58+Quilpue!L58+Quintero!L58+'Villa Alemana'!L58+'Viña del Mar'!L58+Zapallar!L58</f>
        <v>58805473</v>
      </c>
      <c r="M60" s="206">
        <f>+Cabildo!M58+'La Calera'!M58+Concón!M58+Hijuelas!M58+'La Cruz'!M58+'La Ligua'!M58+Limache!M58+Nogales!M58+Olmue!M58+Papudo!M58+Petorca!M58+Puchuncavi!M58+Quillota!M58+Quilpue!M58+Quintero!M58+'Villa Alemana'!M58+'Viña del Mar'!M58+Zapallar!M58</f>
        <v>15674429</v>
      </c>
      <c r="N60" s="206">
        <f>+Cabildo!N58+'La Calera'!N58+Concón!N58+Hijuelas!N58+'La Cruz'!N58+'La Ligua'!N58+Limache!N58+Nogales!N58+Olmue!N58+Papudo!N58+Petorca!N58+Puchuncavi!N58+Quillota!N58+Quilpue!N58+Quintero!N58+'Villa Alemana'!N58+'Viña del Mar'!N58+Zapallar!N58</f>
        <v>0</v>
      </c>
      <c r="O60" s="206">
        <f>+Cabildo!O58+'La Calera'!O58+Concón!O58+Hijuelas!O58+'La Cruz'!O58+'La Ligua'!O58+Limache!O58+Nogales!O58+Olmue!O58+Papudo!O58+Petorca!O58+Puchuncavi!O58+Quillota!O58+Quilpue!O58+Quintero!O58+'Villa Alemana'!O58+'Viña del Mar'!O58+Zapallar!O58</f>
        <v>0</v>
      </c>
      <c r="P60" s="206">
        <f>+Cabildo!P58+'La Calera'!P58+Concón!P58+Hijuelas!P58+'La Cruz'!P58+'La Ligua'!P58+Limache!P58+Nogales!P58+Olmue!P58+Papudo!P58+Petorca!P58+Puchuncavi!P58+Quillota!P58+Quilpue!P58+Quintero!P58+'Villa Alemana'!P58+'Viña del Mar'!P58+Zapallar!P58</f>
        <v>0</v>
      </c>
      <c r="Q60" s="560">
        <f>+Cabildo!Q58+'La Calera'!Q58+Concón!Q58+Hijuelas!Q58+'La Cruz'!Q58+'La Ligua'!Q58+Limache!Q58+Nogales!Q58+Olmue!Q58+Papudo!Q58+Petorca!Q58+Puchuncavi!Q58+Quillota!Q58+Quilpue!Q58+Quintero!Q58+'Villa Alemana'!Q58+'Viña del Mar'!Q58+Zapallar!Q58</f>
        <v>9350367</v>
      </c>
      <c r="R60" s="560">
        <f>+Cabildo!R58+'La Calera'!R58+Concón!R58+Hijuelas!R58+'La Cruz'!R58+'La Ligua'!R58+Limache!R58+Nogales!R58+Olmue!R58+Papudo!R58+Petorca!R58+Puchuncavi!R58+Quillota!R58+Quilpue!R58+Quintero!R58+'Villa Alemana'!R58+'Viña del Mar'!R58+Zapallar!R58</f>
        <v>50097865</v>
      </c>
      <c r="S60" s="560">
        <f>+Cabildo!S58+'La Calera'!S58+Concón!S58+Hijuelas!S58+'La Cruz'!S58+'La Ligua'!S58+Limache!S58+Nogales!S58+Olmue!S58+Papudo!S58+Petorca!S58+Puchuncavi!S58+Quillota!S58+Quilpue!S58+Quintero!S58+'Villa Alemana'!S58+'Viña del Mar'!S58+Zapallar!S58</f>
        <v>381043</v>
      </c>
      <c r="T60" s="227">
        <f>+Cabildo!T58+'La Calera'!T58+Concón!T58+Hijuelas!T58+'La Cruz'!T58+'La Ligua'!T58+Limache!T58+Nogales!T58+Olmue!T58+Papudo!T58+Petorca!T58+Puchuncavi!T58+Quillota!T58+Quilpue!T58+Quintero!T58+'Villa Alemana'!T58+'Viña del Mar'!T58+Zapallar!T58</f>
        <v>0</v>
      </c>
      <c r="U60" s="235">
        <f>+Cabildo!U58+'La Calera'!U58+Concón!U58+Hijuelas!U58+'La Cruz'!U58+'La Ligua'!U58+Limache!U58+Nogales!U58+Olmue!U58+Papudo!U58+Petorca!U58+Puchuncavi!U58+Quillota!U58+Quilpue!U58+Quintero!U58+'Villa Alemana'!U58+'Viña del Mar'!U58+Zapallar!U58</f>
        <v>0</v>
      </c>
      <c r="V60" s="206">
        <f>+Cabildo!V58+'La Calera'!V58+Concón!V58+Hijuelas!V58+'La Cruz'!V58+'La Ligua'!V58+Limache!V58+Nogales!V58+Olmue!V58+Papudo!V58+Petorca!V58+Puchuncavi!V58+Quillota!V58+Quilpue!V58+Quintero!V58+'Villa Alemana'!V58+'Viña del Mar'!V58+Zapallar!V58</f>
        <v>0</v>
      </c>
      <c r="W60" s="206">
        <f>+Cabildo!W58+'La Calera'!W58+Concón!W58+Hijuelas!W58+'La Cruz'!W58+'La Ligua'!W58+Limache!W58+Nogales!W58+Olmue!W58+Papudo!W58+Petorca!W58+Puchuncavi!W58+Quillota!W58+Quilpue!W58+Quintero!W58+'Villa Alemana'!W58+'Viña del Mar'!W58+Zapallar!W58</f>
        <v>33953823</v>
      </c>
      <c r="X60" s="206">
        <f>+Cabildo!X58+'La Calera'!X58+Concón!X58+Hijuelas!X58+'La Cruz'!X58+'La Ligua'!X58+Limache!X58+Nogales!X58+Olmue!X58+Papudo!X58+Petorca!X58+Puchuncavi!X58+Quillota!X58+Quilpue!X58+Quintero!X58+'Villa Alemana'!X58+'Viña del Mar'!X58+Zapallar!X58</f>
        <v>58805473</v>
      </c>
      <c r="Y60" s="206">
        <f>+Cabildo!Y58+'La Calera'!Y58+Concón!Y58+Hijuelas!Y58+'La Cruz'!Y58+'La Ligua'!Y58+Limache!Y58+Nogales!Y58+Olmue!Y58+Papudo!Y58+Petorca!Y58+Puchuncavi!Y58+Quillota!Y58+Quilpue!Y58+Quintero!Y58+'Villa Alemana'!Y58+'Viña del Mar'!Y58+Zapallar!Y58</f>
        <v>15674429</v>
      </c>
      <c r="Z60" s="206">
        <f>+Cabildo!Z58+'La Calera'!Z58+Concón!Z58+Hijuelas!Z58+'La Cruz'!Z58+'La Ligua'!Z58+Limache!Z58+Nogales!Z58+Olmue!Z58+Papudo!Z58+Petorca!Z58+Puchuncavi!Z58+Quillota!Z58+Quilpue!Z58+Quintero!Z58+'Villa Alemana'!Z58+'Viña del Mar'!Z58+Zapallar!Z58</f>
        <v>0</v>
      </c>
      <c r="AA60" s="206">
        <f>+Cabildo!AA58+'La Calera'!AA58+Concón!AA58+Hijuelas!AA58+'La Cruz'!AA58+'La Ligua'!AA58+Limache!AA58+Nogales!AA58+Olmue!AA58+Papudo!AA58+Petorca!AA58+Puchuncavi!AA58+Quillota!AA58+Quilpue!AA58+Quintero!AA58+'Villa Alemana'!AA58+'Viña del Mar'!AA58+Zapallar!AA58</f>
        <v>0</v>
      </c>
      <c r="AB60" s="206">
        <f>+Cabildo!AB58+'La Calera'!AB58+Concón!AB58+Hijuelas!AB58+'La Cruz'!AB58+'La Ligua'!AB58+Limache!AB58+Nogales!AB58+Olmue!AB58+Papudo!AB58+Petorca!AB58+Puchuncavi!AB58+Quillota!AB58+Quilpue!AB58+Quintero!AB58+'Villa Alemana'!AB58+'Viña del Mar'!AB58+Zapallar!AB58</f>
        <v>0</v>
      </c>
      <c r="AC60" s="206">
        <f>+Cabildo!AC58+'La Calera'!AC58+Concón!AC58+Hijuelas!AC58+'La Cruz'!AC58+'La Ligua'!AC58+Limache!AC58+Nogales!AC58+Olmue!AC58+Papudo!AC58+Petorca!AC58+Puchuncavi!AC58+Quillota!AC58+Quilpue!AC58+Quintero!AC58+'Villa Alemana'!AC58+'Viña del Mar'!AC58+Zapallar!AC58</f>
        <v>9350367</v>
      </c>
      <c r="AD60" s="206">
        <f>+Cabildo!AD58+'La Calera'!AD58+Concón!AD58+Hijuelas!AD58+'La Cruz'!AD58+'La Ligua'!AD58+Limache!AD58+Nogales!AD58+Olmue!AD58+Papudo!AD58+Petorca!AD58+Puchuncavi!AD58+Quillota!AD58+Quilpue!AD58+Quintero!AD58+'Villa Alemana'!AD58+'Viña del Mar'!AD58+Zapallar!AD58</f>
        <v>50097865</v>
      </c>
      <c r="AE60" s="206">
        <f>+Cabildo!AE58+'La Calera'!AE58+Concón!AE58+Hijuelas!AE58+'La Cruz'!AE58+'La Ligua'!AE58+Limache!AE58+Nogales!AE58+Olmue!AE58+Papudo!AE58+Petorca!AE58+Puchuncavi!AE58+Quillota!AE58+Quilpue!AE58+Quintero!AE58+'Villa Alemana'!AE58+'Viña del Mar'!AE58+Zapallar!AE58</f>
        <v>381043</v>
      </c>
      <c r="AF60" s="221">
        <f>+Cabildo!AF58+'La Calera'!AF58+Concón!AF58+Hijuelas!AF58+'La Cruz'!AF58+'La Ligua'!AF58+Limache!AF58+Nogales!AF58+Olmue!AF58+Papudo!AF58+Petorca!AF58+Puchuncavi!AF58+Quillota!AF58+Quilpue!AF58+Quintero!AF58+'Villa Alemana'!AF58+'Viña del Mar'!AF58+Zapallar!AF58</f>
        <v>0</v>
      </c>
      <c r="AG60" s="664">
        <f t="shared" si="9"/>
        <v>168263000</v>
      </c>
      <c r="AH60" s="431">
        <f t="shared" si="10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3"/>
        <v>0</v>
      </c>
      <c r="AX60" s="431">
        <f t="shared" si="11"/>
        <v>168263000</v>
      </c>
    </row>
    <row r="61" spans="1:50" ht="15">
      <c r="A61" s="18">
        <v>26</v>
      </c>
      <c r="B61" s="7" t="s">
        <v>88</v>
      </c>
      <c r="C61" s="147"/>
      <c r="D61" s="21">
        <f>+Cabildo!D59+'La Calera'!D59+Concón!D59+Hijuelas!D59+'La Cruz'!D59+'La Ligua'!D59+Limache!D59+Nogales!D59+Olmue!D59+Papudo!D59+Petorca!D59+Puchuncavi!D59+Quillota!D59+Quilpue!D59+Quintero!D59+'Villa Alemana'!D59+'Viña del Mar'!D59+Zapallar!D59</f>
        <v>732241722</v>
      </c>
      <c r="E61" s="142"/>
      <c r="F61" s="143"/>
      <c r="G61" s="160"/>
      <c r="H61" s="324">
        <f t="shared" si="8"/>
        <v>731765916</v>
      </c>
      <c r="I61" s="252">
        <f>+Cabildo!I59+'La Calera'!I59+Concón!I59+Hijuelas!I59+'La Cruz'!I59+'La Ligua'!I59+Limache!I59+Nogales!I59+Olmue!I59+Papudo!I59+Petorca!I59+Puchuncavi!I59+Quillota!I59+Quilpue!I59+Quintero!I59+'Villa Alemana'!I59+'Viña del Mar'!I59+Zapallar!I59</f>
        <v>0</v>
      </c>
      <c r="J61" s="206">
        <f>+Cabildo!J59+'La Calera'!J59+Concón!J59+Hijuelas!J59+'La Cruz'!J59+'La Ligua'!J59+Limache!J59+Nogales!J59+Olmue!J59+Papudo!J59+Petorca!J59+Puchuncavi!J59+Quillota!J59+Quilpue!J59+Quintero!J59+'Villa Alemana'!J59+'Viña del Mar'!J59+Zapallar!J59</f>
        <v>0</v>
      </c>
      <c r="K61" s="206">
        <f>+Cabildo!K59+'La Calera'!K59+Concón!K59+Hijuelas!K59+'La Cruz'!K59+'La Ligua'!K59+Limache!K59+Nogales!K59+Olmue!K59+Papudo!K59+Petorca!K59+Puchuncavi!K59+Quillota!K59+Quilpue!K59+Quintero!K59+'Villa Alemana'!K59+'Viña del Mar'!K59+Zapallar!K59</f>
        <v>182941479</v>
      </c>
      <c r="L61" s="206">
        <f>+Cabildo!L59+'La Calera'!L59+Concón!L59+Hijuelas!L59+'La Cruz'!L59+'La Ligua'!L59+Limache!L59+Nogales!L59+Olmue!L59+Papudo!L59+Petorca!L59+Puchuncavi!L59+Quillota!L59+Quilpue!L59+Quintero!L59+'Villa Alemana'!L59+'Viña del Mar'!L59+Zapallar!L59</f>
        <v>60980493</v>
      </c>
      <c r="M61" s="206">
        <f>+Cabildo!M59+'La Calera'!M59+Concón!M59+Hijuelas!M59+'La Cruz'!M59+'La Ligua'!M59+Limache!M59+Nogales!M59+Olmue!M59+Papudo!M59+Petorca!M59+Puchuncavi!M59+Quillota!M59+Quilpue!M59+Quintero!M59+'Villa Alemana'!M59+'Viña del Mar'!M59+Zapallar!M59</f>
        <v>60980493</v>
      </c>
      <c r="N61" s="206">
        <f>+Cabildo!N59+'La Calera'!N59+Concón!N59+Hijuelas!N59+'La Cruz'!N59+'La Ligua'!N59+Limache!N59+Nogales!N59+Olmue!N59+Papudo!N59+Petorca!N59+Puchuncavi!N59+Quillota!N59+Quilpue!N59+Quintero!N59+'Villa Alemana'!N59+'Viña del Mar'!N59+Zapallar!N59</f>
        <v>60980493</v>
      </c>
      <c r="O61" s="560">
        <f>+Cabildo!O59+'La Calera'!O59+Concón!O59+Hijuelas!O59+'La Cruz'!O59+'La Ligua'!O59+Limache!O59+Nogales!O59+Olmue!O59+Papudo!O59+Petorca!O59+Puchuncavi!O59+Quillota!O59+Quilpue!O59+Quintero!O59+'Villa Alemana'!O59+'Viña del Mar'!O59+Zapallar!O59</f>
        <v>60980493</v>
      </c>
      <c r="P61" s="560">
        <f>+Cabildo!P59+'La Calera'!P59+Concón!P59+Hijuelas!P59+'La Cruz'!P59+'La Ligua'!P59+Limache!P59+Nogales!P59+Olmue!P59+Papudo!P59+Petorca!P59+Puchuncavi!P59+Quillota!P59+Quilpue!P59+Quintero!P59+'Villa Alemana'!P59+'Viña del Mar'!P59+Zapallar!P59</f>
        <v>60980493</v>
      </c>
      <c r="Q61" s="560">
        <f>+Cabildo!Q59+'La Calera'!Q59+Concón!Q59+Hijuelas!Q59+'La Cruz'!Q59+'La Ligua'!Q59+Limache!Q59+Nogales!Q59+Olmue!Q59+Papudo!Q59+Petorca!Q59+Puchuncavi!Q59+Quillota!Q59+Quilpue!Q59+Quintero!Q59+'Villa Alemana'!Q59+'Viña del Mar'!Q59+Zapallar!Q59</f>
        <v>60980493</v>
      </c>
      <c r="R61" s="206">
        <f>+Cabildo!R59+'La Calera'!R59+Concón!R59+Hijuelas!R59+'La Cruz'!R59+'La Ligua'!R59+Limache!R59+Nogales!R59+Olmue!R59+Papudo!R59+Petorca!R59+Puchuncavi!R59+Quillota!R59+Quilpue!R59+Quintero!R59+'Villa Alemana'!R59+'Viña del Mar'!R59+Zapallar!R59</f>
        <v>60980493</v>
      </c>
      <c r="S61" s="678">
        <f>+Cabildo!S59+'La Calera'!S59+Concón!S59+Hijuelas!S59+'La Cruz'!S59+'La Ligua'!S59+Limache!S59+Nogales!S59+Olmue!S59+Papudo!S59+Petorca!S59+Puchuncavi!S59+Quillota!S59+Quilpue!S59+Quintero!S59+'Villa Alemana'!S59+'Viña del Mar'!S59+Zapallar!S59</f>
        <v>60980493</v>
      </c>
      <c r="T61" s="691">
        <f>+Cabildo!T59+'La Calera'!T59+Concón!T59+Hijuelas!T59+'La Cruz'!T59+'La Ligua'!T59+Limache!T59+Nogales!T59+Olmue!T59+Papudo!T59+Petorca!T59+Puchuncavi!T59+Quillota!T59+Quilpue!T59+Quintero!T59+'Villa Alemana'!T59+'Viña del Mar'!T59+Zapallar!T59</f>
        <v>60980493</v>
      </c>
      <c r="U61" s="235">
        <f>+Cabildo!U59+'La Calera'!U59+Concón!U59+Hijuelas!U59+'La Cruz'!U59+'La Ligua'!U59+Limache!U59+Nogales!U59+Olmue!U59+Papudo!U59+Petorca!U59+Puchuncavi!U59+Quillota!U59+Quilpue!U59+Quintero!U59+'Villa Alemana'!U59+'Viña del Mar'!U59+Zapallar!U59</f>
        <v>0</v>
      </c>
      <c r="V61" s="206">
        <f>+Cabildo!V59+'La Calera'!V59+Concón!V59+Hijuelas!V59+'La Cruz'!V59+'La Ligua'!V59+Limache!V59+Nogales!V59+Olmue!V59+Papudo!V59+Petorca!V59+Puchuncavi!V59+Quillota!V59+Quilpue!V59+Quintero!V59+'Villa Alemana'!V59+'Viña del Mar'!V59+Zapallar!V59</f>
        <v>0</v>
      </c>
      <c r="W61" s="206">
        <f>+Cabildo!W59+'La Calera'!W59+Concón!W59+Hijuelas!W59+'La Cruz'!W59+'La Ligua'!W59+Limache!W59+Nogales!W59+Olmue!W59+Papudo!W59+Petorca!W59+Puchuncavi!W59+Quillota!W59+Quilpue!W59+Quintero!W59+'Villa Alemana'!W59+'Viña del Mar'!W59+Zapallar!W59</f>
        <v>178441479</v>
      </c>
      <c r="X61" s="206">
        <f>+Cabildo!X59+'La Calera'!X59+Concón!X59+Hijuelas!X59+'La Cruz'!X59+'La Ligua'!X59+Limache!X59+Nogales!X59+Olmue!X59+Papudo!X59+Petorca!X59+Puchuncavi!X59+Quillota!X59+Quilpue!X59+Quintero!X59+'Villa Alemana'!X59+'Viña del Mar'!X59+Zapallar!X59</f>
        <v>60980493</v>
      </c>
      <c r="Y61" s="206">
        <f>+Cabildo!Y59+'La Calera'!Y59+Concón!Y59+Hijuelas!Y59+'La Cruz'!Y59+'La Ligua'!Y59+Limache!Y59+Nogales!Y59+Olmue!Y59+Papudo!Y59+Petorca!Y59+Puchuncavi!Y59+Quillota!Y59+Quilpue!Y59+Quintero!Y59+'Villa Alemana'!Y59+'Viña del Mar'!Y59+Zapallar!Y59</f>
        <v>60980493</v>
      </c>
      <c r="Z61" s="206">
        <f>+Cabildo!Z59+'La Calera'!Z59+Concón!Z59+Hijuelas!Z59+'La Cruz'!Z59+'La Ligua'!Z59+Limache!Z59+Nogales!Z59+Olmue!Z59+Papudo!Z59+Petorca!Z59+Puchuncavi!Z59+Quillota!Z59+Quilpue!Z59+Quintero!Z59+'Villa Alemana'!Z59+'Viña del Mar'!Z59+Zapallar!Z59</f>
        <v>0</v>
      </c>
      <c r="AA61" s="206">
        <f>+Cabildo!AA59+'La Calera'!AA59+Concón!AA59+Hijuelas!AA59+'La Cruz'!AA59+'La Ligua'!AA59+Limache!AA59+Nogales!AA59+Olmue!AA59+Papudo!AA59+Petorca!AA59+Puchuncavi!AA59+Quillota!AA59+Quilpue!AA59+Quintero!AA59+'Villa Alemana'!AA59+'Viña del Mar'!AA59+Zapallar!AA59</f>
        <v>126460986</v>
      </c>
      <c r="AB61" s="206">
        <f>+Cabildo!AB59+'La Calera'!AB59+Concón!AB59+Hijuelas!AB59+'La Cruz'!AB59+'La Ligua'!AB59+Limache!AB59+Nogales!AB59+Olmue!AB59+Papudo!AB59+Petorca!AB59+Puchuncavi!AB59+Quillota!AB59+Quilpue!AB59+Quintero!AB59+'Villa Alemana'!AB59+'Viña del Mar'!AB59+Zapallar!AB59</f>
        <v>60980493</v>
      </c>
      <c r="AC61" s="206">
        <f>+Cabildo!AC59+'La Calera'!AC59+Concón!AC59+Hijuelas!AC59+'La Cruz'!AC59+'La Ligua'!AC59+Limache!AC59+Nogales!AC59+Olmue!AC59+Papudo!AC59+Petorca!AC59+Puchuncavi!AC59+Quillota!AC59+Quilpue!AC59+Quintero!AC59+'Villa Alemana'!AC59+'Viña del Mar'!AC59+Zapallar!AC59</f>
        <v>60980493</v>
      </c>
      <c r="AD61" s="206">
        <f>+Cabildo!AD59+'La Calera'!AD59+Concón!AD59+Hijuelas!AD59+'La Cruz'!AD59+'La Ligua'!AD59+Limache!AD59+Nogales!AD59+Olmue!AD59+Papudo!AD59+Petorca!AD59+Puchuncavi!AD59+Quillota!AD59+Quilpue!AD59+Quintero!AD59+'Villa Alemana'!AD59+'Viña del Mar'!AD59+Zapallar!AD59</f>
        <v>60980493</v>
      </c>
      <c r="AE61" s="206">
        <f>+Cabildo!AE59+'La Calera'!AE59+Concón!AE59+Hijuelas!AE59+'La Cruz'!AE59+'La Ligua'!AE59+Limache!AE59+Nogales!AE59+Olmue!AE59+Papudo!AE59+Petorca!AE59+Puchuncavi!AE59+Quillota!AE59+Quilpue!AE59+Quintero!AE59+'Villa Alemana'!AE59+'Viña del Mar'!AE59+Zapallar!AE59</f>
        <v>60980493</v>
      </c>
      <c r="AF61" s="221">
        <f>+Cabildo!AF59+'La Calera'!AF59+Concón!AF59+Hijuelas!AF59+'La Cruz'!AF59+'La Ligua'!AF59+Limache!AF59+Nogales!AF59+Olmue!AF59+Papudo!AF59+Petorca!AF59+Puchuncavi!AF59+Quillota!AF59+Quilpue!AF59+Quintero!AF59+'Villa Alemana'!AF59+'Viña del Mar'!AF59+Zapallar!AF59</f>
        <v>60980493</v>
      </c>
      <c r="AG61" s="664">
        <f t="shared" si="9"/>
        <v>731765916</v>
      </c>
      <c r="AH61" s="431">
        <f t="shared" si="10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3"/>
        <v>0</v>
      </c>
      <c r="AX61" s="431">
        <f t="shared" si="11"/>
        <v>731765916</v>
      </c>
    </row>
    <row r="62" spans="1:50" ht="15">
      <c r="A62" s="18">
        <v>27</v>
      </c>
      <c r="B62" s="7" t="s">
        <v>89</v>
      </c>
      <c r="C62" s="147"/>
      <c r="D62" s="21">
        <f>+Cabildo!D60+'La Calera'!D60+Concón!D60+Hijuelas!D60+'La Cruz'!D60+'La Ligua'!D60+Limache!D60+Nogales!D60+Olmue!D60+Papudo!D60+Petorca!D60+Puchuncavi!D60+Quillota!D60+Quilpue!D60+Quintero!D60+'Villa Alemana'!D60+'Viña del Mar'!D60+Zapallar!D60</f>
        <v>1754909340</v>
      </c>
      <c r="E62" s="142"/>
      <c r="F62" s="143"/>
      <c r="G62" s="160"/>
      <c r="H62" s="324">
        <f t="shared" si="8"/>
        <v>1801058424</v>
      </c>
      <c r="I62" s="252">
        <f>+Cabildo!I60+'La Calera'!I60+Concón!I60+Hijuelas!I60+'La Cruz'!I60+'La Ligua'!I60+Limache!I60+Nogales!I60+Olmue!I60+Papudo!I60+Petorca!I60+Puchuncavi!I60+Quillota!I60+Quilpue!I60+Quintero!I60+'Villa Alemana'!I60+'Viña del Mar'!I60+Zapallar!I60</f>
        <v>0</v>
      </c>
      <c r="J62" s="206">
        <f>+Cabildo!J60+'La Calera'!J60+Concón!J60+Hijuelas!J60+'La Cruz'!J60+'La Ligua'!J60+Limache!J60+Nogales!J60+Olmue!J60+Papudo!J60+Petorca!J60+Puchuncavi!J60+Quillota!J60+Quilpue!J60+Quintero!J60+'Villa Alemana'!J60+'Viña del Mar'!J60+Zapallar!J60</f>
        <v>0</v>
      </c>
      <c r="K62" s="206">
        <f>+Cabildo!K60+'La Calera'!K60+Concón!K60+Hijuelas!K60+'La Cruz'!K60+'La Ligua'!K60+Limache!K60+Nogales!K60+Olmue!K60+Papudo!K60+Petorca!K60+Puchuncavi!K60+Quillota!K60+Quilpue!K60+Quintero!K60+'Villa Alemana'!K60+'Viña del Mar'!K60+Zapallar!K60</f>
        <v>415652793</v>
      </c>
      <c r="L62" s="206">
        <f>+Cabildo!L60+'La Calera'!L60+Concón!L60+Hijuelas!L60+'La Cruz'!L60+'La Ligua'!L60+Limache!L60+Nogales!L60+Olmue!L60+Papudo!L60+Petorca!L60+Puchuncavi!L60+Quillota!L60+Quilpue!L60+Quintero!L60+'Villa Alemana'!L60+'Viña del Mar'!L60+Zapallar!L60</f>
        <v>138550931</v>
      </c>
      <c r="M62" s="206">
        <f>+Cabildo!M60+'La Calera'!M60+Concón!M60+Hijuelas!M60+'La Cruz'!M60+'La Ligua'!M60+Limache!M60+Nogales!M60+Olmue!M60+Papudo!M60+Petorca!M60+Puchuncavi!M60+Quillota!M60+Quilpue!M60+Quintero!M60+'Villa Alemana'!M60+'Viña del Mar'!M60+Zapallar!M60</f>
        <v>138550931</v>
      </c>
      <c r="N62" s="206">
        <f>+Cabildo!N60+'La Calera'!N60+Concón!N60+Hijuelas!N60+'La Cruz'!N60+'La Ligua'!N60+Limache!N60+Nogales!N60+Olmue!N60+Papudo!N60+Petorca!N60+Puchuncavi!N60+Quillota!N60+Quilpue!N60+Quintero!N60+'Villa Alemana'!N60+'Viña del Mar'!N60+Zapallar!N60</f>
        <v>138550931</v>
      </c>
      <c r="O62" s="560">
        <f>+Cabildo!O60+'La Calera'!O60+Concón!O60+Hijuelas!O60+'La Cruz'!O60+'La Ligua'!O60+Limache!O60+Nogales!O60+Olmue!O60+Papudo!O60+Petorca!O60+Puchuncavi!O60+Quillota!O60+Quilpue!O60+Quintero!O60+'Villa Alemana'!O60+'Viña del Mar'!O60+Zapallar!O60</f>
        <v>138550931</v>
      </c>
      <c r="P62" s="560">
        <f>+Cabildo!P60+'La Calera'!P60+Concón!P60+Hijuelas!P60+'La Cruz'!P60+'La Ligua'!P60+Limache!P60+Nogales!P60+Olmue!P60+Papudo!P60+Petorca!P60+Puchuncavi!P60+Quillota!P60+Quilpue!P60+Quintero!P60+'Villa Alemana'!P60+'Viña del Mar'!P60+Zapallar!P60</f>
        <v>138550931</v>
      </c>
      <c r="Q62" s="560">
        <f>+Cabildo!Q60+'La Calera'!Q60+Concón!Q60+Hijuelas!Q60+'La Cruz'!Q60+'La Ligua'!Q60+Limache!Q60+Nogales!Q60+Olmue!Q60+Papudo!Q60+Petorca!Q60+Puchuncavi!Q60+Quillota!Q60+Quilpue!Q60+Quintero!Q60+'Villa Alemana'!Q60+'Viña del Mar'!Q60+Zapallar!Q60</f>
        <v>138550931</v>
      </c>
      <c r="R62" s="560">
        <f>+Cabildo!R60+'La Calera'!R60+Concón!R60+Hijuelas!R60+'La Cruz'!R60+'La Ligua'!R60+Limache!R60+Nogales!R60+Olmue!R60+Papudo!R60+Petorca!R60+Puchuncavi!R60+Quillota!R60+Quilpue!R60+Quintero!R60+'Villa Alemana'!R60+'Viña del Mar'!R60+Zapallar!R60</f>
        <v>184700015</v>
      </c>
      <c r="S62" s="560">
        <f>+Cabildo!S60+'La Calera'!S60+Concón!S60+Hijuelas!S60+'La Cruz'!S60+'La Ligua'!S60+Limache!S60+Nogales!S60+Olmue!S60+Papudo!S60+Petorca!S60+Puchuncavi!S60+Quillota!S60+Quilpue!S60+Quintero!S60+'Villa Alemana'!S60+'Viña del Mar'!S60+Zapallar!S60</f>
        <v>138550931</v>
      </c>
      <c r="T62" s="692">
        <f>+Cabildo!T60+'La Calera'!T60+Concón!T60+Hijuelas!T60+'La Cruz'!T60+'La Ligua'!T60+Limache!T60+Nogales!T60+Olmue!T60+Papudo!T60+Petorca!T60+Puchuncavi!T60+Quillota!T60+Quilpue!T60+Quintero!T60+'Villa Alemana'!T60+'Viña del Mar'!T60+Zapallar!T60</f>
        <v>230849099</v>
      </c>
      <c r="U62" s="235">
        <f>+Cabildo!U60+'La Calera'!U60+Concón!U60+Hijuelas!U60+'La Cruz'!U60+'La Ligua'!U60+Limache!U60+Nogales!U60+Olmue!U60+Papudo!U60+Petorca!U60+Puchuncavi!U60+Quillota!U60+Quilpue!U60+Quintero!U60+'Villa Alemana'!U60+'Viña del Mar'!U60+Zapallar!U60</f>
        <v>0</v>
      </c>
      <c r="V62" s="206">
        <f>+Cabildo!V60+'La Calera'!V60+Concón!V60+Hijuelas!V60+'La Cruz'!V60+'La Ligua'!V60+Limache!V60+Nogales!V60+Olmue!V60+Papudo!V60+Petorca!V60+Puchuncavi!V60+Quillota!V60+Quilpue!V60+Quintero!V60+'Villa Alemana'!V60+'Viña del Mar'!V60+Zapallar!V60</f>
        <v>0</v>
      </c>
      <c r="W62" s="206">
        <f>+Cabildo!W60+'La Calera'!W60+Concón!W60+Hijuelas!W60+'La Cruz'!W60+'La Ligua'!W60+Limache!W60+Nogales!W60+Olmue!W60+Papudo!W60+Petorca!W60+Puchuncavi!W60+Quillota!W60+Quilpue!W60+Quintero!W60+'Villa Alemana'!W60+'Viña del Mar'!W60+Zapallar!W60</f>
        <v>415652793</v>
      </c>
      <c r="X62" s="206">
        <f>+Cabildo!X60+'La Calera'!X60+Concón!X60+Hijuelas!X60+'La Cruz'!X60+'La Ligua'!X60+Limache!X60+Nogales!X60+Olmue!X60+Papudo!X60+Petorca!X60+Puchuncavi!X60+Quillota!X60+Quilpue!X60+Quintero!X60+'Villa Alemana'!X60+'Viña del Mar'!X60+Zapallar!X60</f>
        <v>138550931</v>
      </c>
      <c r="Y62" s="206">
        <f>+Cabildo!Y60+'La Calera'!Y60+Concón!Y60+Hijuelas!Y60+'La Cruz'!Y60+'La Ligua'!Y60+Limache!Y60+Nogales!Y60+Olmue!Y60+Papudo!Y60+Petorca!Y60+Puchuncavi!Y60+Quillota!Y60+Quilpue!Y60+Quintero!Y60+'Villa Alemana'!Y60+'Viña del Mar'!Y60+Zapallar!Y60</f>
        <v>138550931</v>
      </c>
      <c r="Z62" s="206">
        <f>+Cabildo!Z60+'La Calera'!Z60+Concón!Z60+Hijuelas!Z60+'La Cruz'!Z60+'La Ligua'!Z60+Limache!Z60+Nogales!Z60+Olmue!Z60+Papudo!Z60+Petorca!Z60+Puchuncavi!Z60+Quillota!Z60+Quilpue!Z60+Quintero!Z60+'Villa Alemana'!Z60+'Viña del Mar'!Z60+Zapallar!Z60</f>
        <v>69327305</v>
      </c>
      <c r="AA62" s="206">
        <f>+Cabildo!AA60+'La Calera'!AA60+Concón!AA60+Hijuelas!AA60+'La Cruz'!AA60+'La Ligua'!AA60+Limache!AA60+Nogales!AA60+Olmue!AA60+Papudo!AA60+Petorca!AA60+Puchuncavi!AA60+Quillota!AA60+Quilpue!AA60+Quintero!AA60+'Villa Alemana'!AA60+'Viña del Mar'!AA60+Zapallar!AA60</f>
        <v>80864576</v>
      </c>
      <c r="AB62" s="206">
        <f>+Cabildo!AB60+'La Calera'!AB60+Concón!AB60+Hijuelas!AB60+'La Cruz'!AB60+'La Ligua'!AB60+Limache!AB60+Nogales!AB60+Olmue!AB60+Papudo!AB60+Petorca!AB60+Puchuncavi!AB60+Quillota!AB60+Quilpue!AB60+Quintero!AB60+'Villa Alemana'!AB60+'Viña del Mar'!AB60+Zapallar!AB60</f>
        <v>150088202</v>
      </c>
      <c r="AC62" s="206">
        <f>+Cabildo!AC60+'La Calera'!AC60+Concón!AC60+Hijuelas!AC60+'La Cruz'!AC60+'La Ligua'!AC60+Limache!AC60+Nogales!AC60+Olmue!AC60+Papudo!AC60+Petorca!AC60+Puchuncavi!AC60+Quillota!AC60+Quilpue!AC60+Quintero!AC60+'Villa Alemana'!AC60+'Viña del Mar'!AC60+Zapallar!AC60</f>
        <v>242386370</v>
      </c>
      <c r="AD62" s="206">
        <f>+Cabildo!AD60+'La Calera'!AD60+Concón!AD60+Hijuelas!AD60+'La Cruz'!AD60+'La Ligua'!AD60+Limache!AD60+Nogales!AD60+Olmue!AD60+Papudo!AD60+Petorca!AD60+Puchuncavi!AD60+Quillota!AD60+Quilpue!AD60+Quintero!AD60+'Villa Alemana'!AD60+'Viña del Mar'!AD60+Zapallar!AD60</f>
        <v>184700015</v>
      </c>
      <c r="AE62" s="206">
        <f>+Cabildo!AE60+'La Calera'!AE60+Concón!AE60+Hijuelas!AE60+'La Cruz'!AE60+'La Ligua'!AE60+Limache!AE60+Nogales!AE60+Olmue!AE60+Papudo!AE60+Petorca!AE60+Puchuncavi!AE60+Quillota!AE60+Quilpue!AE60+Quintero!AE60+'Villa Alemana'!AE60+'Viña del Mar'!AE60+Zapallar!AE60</f>
        <v>103939118</v>
      </c>
      <c r="AF62" s="221">
        <f>+Cabildo!AF60+'La Calera'!AF60+Concón!AF60+Hijuelas!AF60+'La Cruz'!AF60+'La Ligua'!AF60+Limache!AF60+Nogales!AF60+Olmue!AF60+Papudo!AF60+Petorca!AF60+Puchuncavi!AF60+Quillota!AF60+Quilpue!AF60+Quintero!AF60+'Villa Alemana'!AF60+'Viña del Mar'!AF60+Zapallar!AF60</f>
        <v>204764480</v>
      </c>
      <c r="AG62" s="664">
        <f t="shared" si="9"/>
        <v>1728824721</v>
      </c>
      <c r="AH62" s="431">
        <f t="shared" si="10"/>
        <v>72233703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3"/>
        <v>0</v>
      </c>
      <c r="AX62" s="431">
        <f t="shared" si="11"/>
        <v>1728824721</v>
      </c>
    </row>
    <row r="63" spans="1:50" ht="15">
      <c r="A63" s="18">
        <v>28</v>
      </c>
      <c r="B63" s="7" t="s">
        <v>110</v>
      </c>
      <c r="C63" s="147"/>
      <c r="D63" s="21">
        <f>+Cabildo!D61+'La Calera'!D61+Concón!D61+Hijuelas!D61+'La Cruz'!D61+'La Ligua'!D61+Limache!D61+Nogales!D61+Olmue!D61+Papudo!D61+Petorca!D61+Puchuncavi!D61+Quillota!D61+Quilpue!D61+Quintero!D61+'Villa Alemana'!D61+'Viña del Mar'!D61+Zapallar!D61</f>
        <v>29326476</v>
      </c>
      <c r="E63" s="142"/>
      <c r="F63" s="143"/>
      <c r="G63" s="160"/>
      <c r="H63" s="324">
        <f t="shared" si="8"/>
        <v>29326476</v>
      </c>
      <c r="I63" s="252">
        <f>+Cabildo!I61+'La Calera'!I61+Concón!I61+Hijuelas!I61+'La Cruz'!I61+'La Ligua'!I61+Limache!I61+Nogales!I61+Olmue!I61+Papudo!I61+Petorca!I61+Puchuncavi!I61+Quillota!I61+Quilpue!I61+Quintero!I61+'Villa Alemana'!I61+'Viña del Mar'!I61+Zapallar!I61</f>
        <v>0</v>
      </c>
      <c r="J63" s="206">
        <f>+Cabildo!J61+'La Calera'!J61+Concón!J61+Hijuelas!J61+'La Cruz'!J61+'La Ligua'!J61+Limache!J61+Nogales!J61+Olmue!J61+Papudo!J61+Petorca!J61+Puchuncavi!J61+Quillota!J61+Quilpue!J61+Quintero!J61+'Villa Alemana'!J61+'Viña del Mar'!J61+Zapallar!J61</f>
        <v>0</v>
      </c>
      <c r="K63" s="206">
        <f>+Cabildo!K61+'La Calera'!K61+Concón!K61+Hijuelas!K61+'La Cruz'!K61+'La Ligua'!K61+Limache!K61+Nogales!K61+Olmue!K61+Papudo!K61+Petorca!K61+Puchuncavi!K61+Quillota!K61+Quilpue!K61+Quintero!K61+'Villa Alemana'!K61+'Viña del Mar'!K61+Zapallar!K61</f>
        <v>7331619</v>
      </c>
      <c r="L63" s="206">
        <f>+Cabildo!L61+'La Calera'!L61+Concón!L61+Hijuelas!L61+'La Cruz'!L61+'La Ligua'!L61+Limache!L61+Nogales!L61+Olmue!L61+Papudo!L61+Petorca!L61+Puchuncavi!L61+Quillota!L61+Quilpue!L61+Quintero!L61+'Villa Alemana'!L61+'Viña del Mar'!L61+Zapallar!L61</f>
        <v>2443873</v>
      </c>
      <c r="M63" s="206">
        <f>+Cabildo!M61+'La Calera'!M61+Concón!M61+Hijuelas!M61+'La Cruz'!M61+'La Ligua'!M61+Limache!M61+Nogales!M61+Olmue!M61+Papudo!M61+Petorca!M61+Puchuncavi!M61+Quillota!M61+Quilpue!M61+Quintero!M61+'Villa Alemana'!M61+'Viña del Mar'!M61+Zapallar!M61</f>
        <v>2443873</v>
      </c>
      <c r="N63" s="206">
        <f>+Cabildo!N61+'La Calera'!N61+Concón!N61+Hijuelas!N61+'La Cruz'!N61+'La Ligua'!N61+Limache!N61+Nogales!N61+Olmue!N61+Papudo!N61+Petorca!N61+Puchuncavi!N61+Quillota!N61+Quilpue!N61+Quintero!N61+'Villa Alemana'!N61+'Viña del Mar'!N61+Zapallar!N61</f>
        <v>2443873</v>
      </c>
      <c r="O63" s="560">
        <f>+Cabildo!O61+'La Calera'!O61+Concón!O61+Hijuelas!O61+'La Cruz'!O61+'La Ligua'!O61+Limache!O61+Nogales!O61+Olmue!O61+Papudo!O61+Petorca!O61+Puchuncavi!O61+Quillota!O61+Quilpue!O61+Quintero!O61+'Villa Alemana'!O61+'Viña del Mar'!O61+Zapallar!O61</f>
        <v>2443873</v>
      </c>
      <c r="P63" s="560">
        <f>+Cabildo!P61+'La Calera'!P61+Concón!P61+Hijuelas!P61+'La Cruz'!P61+'La Ligua'!P61+Limache!P61+Nogales!P61+Olmue!P61+Papudo!P61+Petorca!P61+Puchuncavi!P61+Quillota!P61+Quilpue!P61+Quintero!P61+'Villa Alemana'!P61+'Viña del Mar'!P61+Zapallar!P61</f>
        <v>2443873</v>
      </c>
      <c r="Q63" s="560">
        <f>+Cabildo!Q61+'La Calera'!Q61+Concón!Q61+Hijuelas!Q61+'La Cruz'!Q61+'La Ligua'!Q61+Limache!Q61+Nogales!Q61+Olmue!Q61+Papudo!Q61+Petorca!Q61+Puchuncavi!Q61+Quillota!Q61+Quilpue!Q61+Quintero!Q61+'Villa Alemana'!Q61+'Viña del Mar'!Q61+Zapallar!Q61</f>
        <v>2443873</v>
      </c>
      <c r="R63" s="660">
        <f>+Cabildo!R61+'La Calera'!R61+Concón!R61+Hijuelas!R61+'La Cruz'!R61+'La Ligua'!R61+Limache!R61+Nogales!R61+Olmue!R61+Papudo!R61+Petorca!R61+Puchuncavi!R61+Quillota!R61+Quilpue!R61+Quintero!R61+'Villa Alemana'!R61+'Viña del Mar'!R61+Zapallar!R61</f>
        <v>2443873</v>
      </c>
      <c r="S63" s="560">
        <f>+Cabildo!S61+'La Calera'!S61+Concón!S61+Hijuelas!S61+'La Cruz'!S61+'La Ligua'!S61+Limache!S61+Nogales!S61+Olmue!S61+Papudo!S61+Petorca!S61+Puchuncavi!S61+Quillota!S61+Quilpue!S61+Quintero!S61+'Villa Alemana'!S61+'Viña del Mar'!S61+Zapallar!S61</f>
        <v>2443873</v>
      </c>
      <c r="T63" s="692">
        <f>+Cabildo!T61+'La Calera'!T61+Concón!T61+Hijuelas!T61+'La Cruz'!T61+'La Ligua'!T61+Limache!T61+Nogales!T61+Olmue!T61+Papudo!T61+Petorca!T61+Puchuncavi!T61+Quillota!T61+Quilpue!T61+Quintero!T61+'Villa Alemana'!T61+'Viña del Mar'!T61+Zapallar!T61</f>
        <v>2443873</v>
      </c>
      <c r="U63" s="235">
        <f>+Cabildo!U61+'La Calera'!U61+Concón!U61+Hijuelas!U61+'La Cruz'!U61+'La Ligua'!U61+Limache!U61+Nogales!U61+Olmue!U61+Papudo!U61+Petorca!U61+Puchuncavi!U61+Quillota!U61+Quilpue!U61+Quintero!U61+'Villa Alemana'!U61+'Viña del Mar'!U61+Zapallar!U61</f>
        <v>0</v>
      </c>
      <c r="V63" s="206">
        <f>+Cabildo!V61+'La Calera'!V61+Concón!V61+Hijuelas!V61+'La Cruz'!V61+'La Ligua'!V61+Limache!V61+Nogales!V61+Olmue!V61+Papudo!V61+Petorca!V61+Puchuncavi!V61+Quillota!V61+Quilpue!V61+Quintero!V61+'Villa Alemana'!V61+'Viña del Mar'!V61+Zapallar!V61</f>
        <v>0</v>
      </c>
      <c r="W63" s="206">
        <f>+Cabildo!W61+'La Calera'!W61+Concón!W61+Hijuelas!W61+'La Cruz'!W61+'La Ligua'!W61+Limache!W61+Nogales!W61+Olmue!W61+Papudo!W61+Petorca!W61+Puchuncavi!W61+Quillota!W61+Quilpue!W61+Quintero!W61+'Villa Alemana'!W61+'Viña del Mar'!W61+Zapallar!W61</f>
        <v>7331619</v>
      </c>
      <c r="X63" s="206">
        <f>+Cabildo!X61+'La Calera'!X61+Concón!X61+Hijuelas!X61+'La Cruz'!X61+'La Ligua'!X61+Limache!X61+Nogales!X61+Olmue!X61+Papudo!X61+Petorca!X61+Puchuncavi!X61+Quillota!X61+Quilpue!X61+Quintero!X61+'Villa Alemana'!X61+'Viña del Mar'!X61+Zapallar!X61</f>
        <v>2443873</v>
      </c>
      <c r="Y63" s="206">
        <f>+Cabildo!Y61+'La Calera'!Y61+Concón!Y61+Hijuelas!Y61+'La Cruz'!Y61+'La Ligua'!Y61+Limache!Y61+Nogales!Y61+Olmue!Y61+Papudo!Y61+Petorca!Y61+Puchuncavi!Y61+Quillota!Y61+Quilpue!Y61+Quintero!Y61+'Villa Alemana'!Y61+'Viña del Mar'!Y61+Zapallar!Y61</f>
        <v>2443873</v>
      </c>
      <c r="Z63" s="206">
        <f>+Cabildo!Z61+'La Calera'!Z61+Concón!Z61+Hijuelas!Z61+'La Cruz'!Z61+'La Ligua'!Z61+Limache!Z61+Nogales!Z61+Olmue!Z61+Papudo!Z61+Petorca!Z61+Puchuncavi!Z61+Quillota!Z61+Quilpue!Z61+Quintero!Z61+'Villa Alemana'!Z61+'Viña del Mar'!Z61+Zapallar!Z61</f>
        <v>0</v>
      </c>
      <c r="AA63" s="206">
        <f>+Cabildo!AA61+'La Calera'!AA61+Concón!AA61+Hijuelas!AA61+'La Cruz'!AA61+'La Ligua'!AA61+Limache!AA61+Nogales!AA61+Olmue!AA61+Papudo!AA61+Petorca!AA61+Puchuncavi!AA61+Quillota!AA61+Quilpue!AA61+Quintero!AA61+'Villa Alemana'!AA61+'Viña del Mar'!AA61+Zapallar!AA61</f>
        <v>2443873</v>
      </c>
      <c r="AB63" s="206">
        <f>+Cabildo!AB61+'La Calera'!AB61+Concón!AB61+Hijuelas!AB61+'La Cruz'!AB61+'La Ligua'!AB61+Limache!AB61+Nogales!AB61+Olmue!AB61+Papudo!AB61+Petorca!AB61+Puchuncavi!AB61+Quillota!AB61+Quilpue!AB61+Quintero!AB61+'Villa Alemana'!AB61+'Viña del Mar'!AB61+Zapallar!AB61</f>
        <v>2443873</v>
      </c>
      <c r="AC63" s="206">
        <f>+Cabildo!AC61+'La Calera'!AC61+Concón!AC61+Hijuelas!AC61+'La Cruz'!AC61+'La Ligua'!AC61+Limache!AC61+Nogales!AC61+Olmue!AC61+Papudo!AC61+Petorca!AC61+Puchuncavi!AC61+Quillota!AC61+Quilpue!AC61+Quintero!AC61+'Villa Alemana'!AC61+'Viña del Mar'!AC61+Zapallar!AC61</f>
        <v>4887746</v>
      </c>
      <c r="AD63" s="206">
        <f>+Cabildo!AD61+'La Calera'!AD61+Concón!AD61+Hijuelas!AD61+'La Cruz'!AD61+'La Ligua'!AD61+Limache!AD61+Nogales!AD61+Olmue!AD61+Papudo!AD61+Petorca!AD61+Puchuncavi!AD61+Quillota!AD61+Quilpue!AD61+Quintero!AD61+'Villa Alemana'!AD61+'Viña del Mar'!AD61+Zapallar!AD61</f>
        <v>2443873</v>
      </c>
      <c r="AE63" s="206">
        <f>+Cabildo!AE61+'La Calera'!AE61+Concón!AE61+Hijuelas!AE61+'La Cruz'!AE61+'La Ligua'!AE61+Limache!AE61+Nogales!AE61+Olmue!AE61+Papudo!AE61+Petorca!AE61+Puchuncavi!AE61+Quillota!AE61+Quilpue!AE61+Quintero!AE61+'Villa Alemana'!AE61+'Viña del Mar'!AE61+Zapallar!AE61</f>
        <v>2443873</v>
      </c>
      <c r="AF63" s="221">
        <f>+Cabildo!AF61+'La Calera'!AF61+Concón!AF61+Hijuelas!AF61+'La Cruz'!AF61+'La Ligua'!AF61+Limache!AF61+Nogales!AF61+Olmue!AF61+Papudo!AF61+Petorca!AF61+Puchuncavi!AF61+Quillota!AF61+Quilpue!AF61+Quintero!AF61+'Villa Alemana'!AF61+'Viña del Mar'!AF61+Zapallar!AF61</f>
        <v>2443873</v>
      </c>
      <c r="AG63" s="664">
        <f t="shared" si="9"/>
        <v>29326476</v>
      </c>
      <c r="AH63" s="431">
        <f t="shared" si="10"/>
        <v>0</v>
      </c>
      <c r="AK63" s="235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27"/>
      <c r="AW63" s="228">
        <f t="shared" si="13"/>
        <v>0</v>
      </c>
      <c r="AX63" s="431">
        <f t="shared" si="11"/>
        <v>29326476</v>
      </c>
    </row>
    <row r="64" spans="1:50" ht="15">
      <c r="A64" s="18">
        <v>29</v>
      </c>
      <c r="B64" s="7" t="s">
        <v>103</v>
      </c>
      <c r="C64" s="147"/>
      <c r="D64" s="21">
        <f>+Cabildo!D62+'La Calera'!D62+Concón!D62+Hijuelas!D62+'La Cruz'!D62+'La Ligua'!D62+Limache!D62+Nogales!D62+Olmue!D62+Papudo!D62+Petorca!D62+Puchuncavi!D62+Quillota!D62+Quilpue!D62+Quintero!D62+'Villa Alemana'!D62+'Viña del Mar'!D62+Zapallar!D62</f>
        <v>159578370</v>
      </c>
      <c r="E64" s="142"/>
      <c r="F64" s="143"/>
      <c r="G64" s="160"/>
      <c r="H64" s="324">
        <f t="shared" si="8"/>
        <v>159578370</v>
      </c>
      <c r="I64" s="252">
        <f>+Cabildo!I62+'La Calera'!I62+Concón!I62+Hijuelas!I62+'La Cruz'!I62+'La Ligua'!I62+Limache!I62+Nogales!I62+Olmue!I62+Papudo!I62+Petorca!I62+Puchuncavi!I62+Quillota!I62+Quilpue!I62+Quintero!I62+'Villa Alemana'!I62+'Viña del Mar'!I62+Zapallar!I62</f>
        <v>0</v>
      </c>
      <c r="J64" s="206">
        <f>+Cabildo!J62+'La Calera'!J62+Concón!J62+Hijuelas!J62+'La Cruz'!J62+'La Ligua'!J62+Limache!J62+Nogales!J62+Olmue!J62+Papudo!J62+Petorca!J62+Puchuncavi!J62+Quillota!J62+Quilpue!J62+Quintero!J62+'Villa Alemana'!J62+'Viña del Mar'!J62+Zapallar!J62</f>
        <v>0</v>
      </c>
      <c r="K64" s="206">
        <f>+Cabildo!K62+'La Calera'!K62+Concón!K62+Hijuelas!K62+'La Cruz'!K62+'La Ligua'!K62+Limache!K62+Nogales!K62+Olmue!K62+Papudo!K62+Petorca!K62+Puchuncavi!K62+Quillota!K62+Quilpue!K62+Quintero!K62+'Villa Alemana'!K62+'Viña del Mar'!K62+Zapallar!K62</f>
        <v>159578370</v>
      </c>
      <c r="L64" s="206">
        <f>+Cabildo!L62+'La Calera'!L62+Concón!L62+Hijuelas!L62+'La Cruz'!L62+'La Ligua'!L62+Limache!L62+Nogales!L62+Olmue!L62+Papudo!L62+Petorca!L62+Puchuncavi!L62+Quillota!L62+Quilpue!L62+Quintero!L62+'Villa Alemana'!L62+'Viña del Mar'!L62+Zapallar!L62</f>
        <v>0</v>
      </c>
      <c r="M64" s="206">
        <f>+Cabildo!M62+'La Calera'!M62+Concón!M62+Hijuelas!M62+'La Cruz'!M62+'La Ligua'!M62+Limache!M62+Nogales!M62+Olmue!M62+Papudo!M62+Petorca!M62+Puchuncavi!M62+Quillota!M62+Quilpue!M62+Quintero!M62+'Villa Alemana'!M62+'Viña del Mar'!M62+Zapallar!M62</f>
        <v>0</v>
      </c>
      <c r="N64" s="206">
        <f>+Cabildo!N62+'La Calera'!N62+Concón!N62+Hijuelas!N62+'La Cruz'!N62+'La Ligua'!N62+Limache!N62+Nogales!N62+Olmue!N62+Papudo!N62+Petorca!N62+Puchuncavi!N62+Quillota!N62+Quilpue!N62+Quintero!N62+'Villa Alemana'!N62+'Viña del Mar'!N62+Zapallar!N62</f>
        <v>0</v>
      </c>
      <c r="O64" s="206">
        <f>+Cabildo!O62+'La Calera'!O62+Concón!O62+Hijuelas!O62+'La Cruz'!O62+'La Ligua'!O62+Limache!O62+Nogales!O62+Olmue!O62+Papudo!O62+Petorca!O62+Puchuncavi!O62+Quillota!O62+Quilpue!O62+Quintero!O62+'Villa Alemana'!O62+'Viña del Mar'!O62+Zapallar!O62</f>
        <v>0</v>
      </c>
      <c r="P64" s="206">
        <f>+Cabildo!P62+'La Calera'!P62+Concón!P62+Hijuelas!P62+'La Cruz'!P62+'La Ligua'!P62+Limache!P62+Nogales!P62+Olmue!P62+Papudo!P62+Petorca!P62+Puchuncavi!P62+Quillota!P62+Quilpue!P62+Quintero!P62+'Villa Alemana'!P62+'Viña del Mar'!P62+Zapallar!P62</f>
        <v>0</v>
      </c>
      <c r="Q64" s="206">
        <f>+Cabildo!Q62+'La Calera'!Q62+Concón!Q62+Hijuelas!Q62+'La Cruz'!Q62+'La Ligua'!Q62+Limache!Q62+Nogales!Q62+Olmue!Q62+Papudo!Q62+Petorca!Q62+Puchuncavi!Q62+Quillota!Q62+Quilpue!Q62+Quintero!Q62+'Villa Alemana'!Q62+'Viña del Mar'!Q62+Zapallar!Q62</f>
        <v>0</v>
      </c>
      <c r="R64" s="206">
        <f>+Cabildo!R62+'La Calera'!R62+Concón!R62+Hijuelas!R62+'La Cruz'!R62+'La Ligua'!R62+Limache!R62+Nogales!R62+Olmue!R62+Papudo!R62+Petorca!R62+Puchuncavi!R62+Quillota!R62+Quilpue!R62+Quintero!R62+'Villa Alemana'!R62+'Viña del Mar'!R62+Zapallar!R62</f>
        <v>0</v>
      </c>
      <c r="S64" s="206">
        <f>+Cabildo!S62+'La Calera'!S62+Concón!S62+Hijuelas!S62+'La Cruz'!S62+'La Ligua'!S62+Limache!S62+Nogales!S62+Olmue!S62+Papudo!S62+Petorca!S62+Puchuncavi!S62+Quillota!S62+Quilpue!S62+Quintero!S62+'Villa Alemana'!S62+'Viña del Mar'!S62+Zapallar!S62</f>
        <v>0</v>
      </c>
      <c r="T64" s="227">
        <f>+Cabildo!T62+'La Calera'!T62+Concón!T62+Hijuelas!T62+'La Cruz'!T62+'La Ligua'!T62+Limache!T62+Nogales!T62+Olmue!T62+Papudo!T62+Petorca!T62+Puchuncavi!T62+Quillota!T62+Quilpue!T62+Quintero!T62+'Villa Alemana'!T62+'Viña del Mar'!T62+Zapallar!T62</f>
        <v>0</v>
      </c>
      <c r="U64" s="235">
        <f>+Cabildo!U62+'La Calera'!U62+Concón!U62+Hijuelas!U62+'La Cruz'!U62+'La Ligua'!U62+Limache!U62+Nogales!U62+Olmue!U62+Papudo!U62+Petorca!U62+Puchuncavi!U62+Quillota!U62+Quilpue!U62+Quintero!U62+'Villa Alemana'!U62+'Viña del Mar'!U62+Zapallar!U62</f>
        <v>0</v>
      </c>
      <c r="V64" s="206">
        <f>+Cabildo!V62+'La Calera'!V62+Concón!V62+Hijuelas!V62+'La Cruz'!V62+'La Ligua'!V62+Limache!V62+Nogales!V62+Olmue!V62+Papudo!V62+Petorca!V62+Puchuncavi!V62+Quillota!V62+Quilpue!V62+Quintero!V62+'Villa Alemana'!V62+'Viña del Mar'!V62+Zapallar!V62</f>
        <v>0</v>
      </c>
      <c r="W64" s="206">
        <f>+Cabildo!W62+'La Calera'!W62+Concón!W62+Hijuelas!W62+'La Cruz'!W62+'La Ligua'!W62+Limache!W62+Nogales!W62+Olmue!W62+Papudo!W62+Petorca!W62+Puchuncavi!W62+Quillota!W62+Quilpue!W62+Quintero!W62+'Villa Alemana'!W62+'Viña del Mar'!W62+Zapallar!W62</f>
        <v>159578370</v>
      </c>
      <c r="X64" s="206">
        <f>+Cabildo!X62+'La Calera'!X62+Concón!X62+Hijuelas!X62+'La Cruz'!X62+'La Ligua'!X62+Limache!X62+Nogales!X62+Olmue!X62+Papudo!X62+Petorca!X62+Puchuncavi!X62+Quillota!X62+Quilpue!X62+Quintero!X62+'Villa Alemana'!X62+'Viña del Mar'!X62+Zapallar!X62</f>
        <v>0</v>
      </c>
      <c r="Y64" s="206">
        <f>+Cabildo!Y62+'La Calera'!Y62+Concón!Y62+Hijuelas!Y62+'La Cruz'!Y62+'La Ligua'!Y62+Limache!Y62+Nogales!Y62+Olmue!Y62+Papudo!Y62+Petorca!Y62+Puchuncavi!Y62+Quillota!Y62+Quilpue!Y62+Quintero!Y62+'Villa Alemana'!Y62+'Viña del Mar'!Y62+Zapallar!Y62</f>
        <v>0</v>
      </c>
      <c r="Z64" s="206">
        <f>+Cabildo!Z62+'La Calera'!Z62+Concón!Z62+Hijuelas!Z62+'La Cruz'!Z62+'La Ligua'!Z62+Limache!Z62+Nogales!Z62+Olmue!Z62+Papudo!Z62+Petorca!Z62+Puchuncavi!Z62+Quillota!Z62+Quilpue!Z62+Quintero!Z62+'Villa Alemana'!Z62+'Viña del Mar'!Z62+Zapallar!Z62</f>
        <v>0</v>
      </c>
      <c r="AA64" s="206">
        <f>+Cabildo!AA62+'La Calera'!AA62+Concón!AA62+Hijuelas!AA62+'La Cruz'!AA62+'La Ligua'!AA62+Limache!AA62+Nogales!AA62+Olmue!AA62+Papudo!AA62+Petorca!AA62+Puchuncavi!AA62+Quillota!AA62+Quilpue!AA62+Quintero!AA62+'Villa Alemana'!AA62+'Viña del Mar'!AA62+Zapallar!AA62</f>
        <v>0</v>
      </c>
      <c r="AB64" s="206">
        <f>+Cabildo!AB62+'La Calera'!AB62+Concón!AB62+Hijuelas!AB62+'La Cruz'!AB62+'La Ligua'!AB62+Limache!AB62+Nogales!AB62+Olmue!AB62+Papudo!AB62+Petorca!AB62+Puchuncavi!AB62+Quillota!AB62+Quilpue!AB62+Quintero!AB62+'Villa Alemana'!AB62+'Viña del Mar'!AB62+Zapallar!AB62</f>
        <v>0</v>
      </c>
      <c r="AC64" s="206">
        <f>+Cabildo!AC62+'La Calera'!AC62+Concón!AC62+Hijuelas!AC62+'La Cruz'!AC62+'La Ligua'!AC62+Limache!AC62+Nogales!AC62+Olmue!AC62+Papudo!AC62+Petorca!AC62+Puchuncavi!AC62+Quillota!AC62+Quilpue!AC62+Quintero!AC62+'Villa Alemana'!AC62+'Viña del Mar'!AC62+Zapallar!AC62</f>
        <v>0</v>
      </c>
      <c r="AD64" s="206">
        <f>+Cabildo!AD62+'La Calera'!AD62+Concón!AD62+Hijuelas!AD62+'La Cruz'!AD62+'La Ligua'!AD62+Limache!AD62+Nogales!AD62+Olmue!AD62+Papudo!AD62+Petorca!AD62+Puchuncavi!AD62+Quillota!AD62+Quilpue!AD62+Quintero!AD62+'Villa Alemana'!AD62+'Viña del Mar'!AD62+Zapallar!AD62</f>
        <v>0</v>
      </c>
      <c r="AE64" s="206">
        <f>+Cabildo!AE62+'La Calera'!AE62+Concón!AE62+Hijuelas!AE62+'La Cruz'!AE62+'La Ligua'!AE62+Limache!AE62+Nogales!AE62+Olmue!AE62+Papudo!AE62+Petorca!AE62+Puchuncavi!AE62+Quillota!AE62+Quilpue!AE62+Quintero!AE62+'Villa Alemana'!AE62+'Viña del Mar'!AE62+Zapallar!AE62</f>
        <v>0</v>
      </c>
      <c r="AF64" s="221">
        <f>+Cabildo!AF62+'La Calera'!AF62+Concón!AF62+Hijuelas!AF62+'La Cruz'!AF62+'La Ligua'!AF62+Limache!AF62+Nogales!AF62+Olmue!AF62+Papudo!AF62+Petorca!AF62+Puchuncavi!AF62+Quillota!AF62+Quilpue!AF62+Quintero!AF62+'Villa Alemana'!AF62+'Viña del Mar'!AF62+Zapallar!AF62</f>
        <v>0</v>
      </c>
      <c r="AG64" s="664">
        <f t="shared" si="9"/>
        <v>159578370</v>
      </c>
      <c r="AH64" s="431">
        <f t="shared" si="10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3"/>
        <v>0</v>
      </c>
      <c r="AX64" s="431">
        <f t="shared" si="11"/>
        <v>159578370</v>
      </c>
    </row>
    <row r="65" spans="1:50" ht="15">
      <c r="A65" s="18">
        <v>30</v>
      </c>
      <c r="B65" s="7" t="s">
        <v>90</v>
      </c>
      <c r="C65" s="147"/>
      <c r="D65" s="21">
        <f>+Cabildo!D63+'La Calera'!D63+Concón!D63+Hijuelas!D63+'La Cruz'!D63+'La Ligua'!D63+Limache!D63+Nogales!D63+Olmue!D63+Papudo!D63+Petorca!D63+Puchuncavi!D63+Quillota!D63+Quilpue!D63+Quintero!D63+'Villa Alemana'!D63+'Viña del Mar'!D63+Zapallar!D63</f>
        <v>2139435071</v>
      </c>
      <c r="E65" s="142"/>
      <c r="F65" s="143"/>
      <c r="G65" s="160"/>
      <c r="H65" s="324">
        <f t="shared" si="8"/>
        <v>2135471802</v>
      </c>
      <c r="I65" s="252">
        <f>+Cabildo!I63+'La Calera'!I63+Concón!I63+Hijuelas!I63+'La Cruz'!I63+'La Ligua'!I63+Limache!I63+Nogales!I63+Olmue!I63+Papudo!I63+Petorca!I63+Puchuncavi!I63+Quillota!I63+Quilpue!I63+Quintero!I63+'Villa Alemana'!I63+'Viña del Mar'!I63+Zapallar!I63</f>
        <v>0</v>
      </c>
      <c r="J65" s="206">
        <f>+Cabildo!J63+'La Calera'!J63+Concón!J63+Hijuelas!J63+'La Cruz'!J63+'La Ligua'!J63+Limache!J63+Nogales!J63+Olmue!J63+Papudo!J63+Petorca!J63+Puchuncavi!J63+Quillota!J63+Quilpue!J63+Quintero!J63+'Villa Alemana'!J63+'Viña del Mar'!J63+Zapallar!J63</f>
        <v>0</v>
      </c>
      <c r="K65" s="206">
        <f>+Cabildo!K63+'La Calera'!K63+Concón!K63+Hijuelas!K63+'La Cruz'!K63+'La Ligua'!K63+Limache!K63+Nogales!K63+Olmue!K63+Papudo!K63+Petorca!K63+Puchuncavi!K63+Quillota!K63+Quilpue!K63+Quintero!K63+'Villa Alemana'!K63+'Viña del Mar'!K63+Zapallar!K63</f>
        <v>421849967</v>
      </c>
      <c r="L65" s="206">
        <f>+Cabildo!L63+'La Calera'!L63+Concón!L63+Hijuelas!L63+'La Cruz'!L63+'La Ligua'!L63+Limache!L63+Nogales!L63+Olmue!L63+Papudo!L63+Petorca!L63+Puchuncavi!L63+Quillota!L63+Quilpue!L63+Quintero!L63+'Villa Alemana'!L63+'Viña del Mar'!L63+Zapallar!L63</f>
        <v>967491295</v>
      </c>
      <c r="M65" s="206">
        <f>+Cabildo!M63+'La Calera'!M63+Concón!M63+Hijuelas!M63+'La Cruz'!M63+'La Ligua'!M63+Limache!M63+Nogales!M63+Olmue!M63+Papudo!M63+Petorca!M63+Puchuncavi!M63+Quillota!M63+Quilpue!M63+Quintero!M63+'Villa Alemana'!M63+'Viña del Mar'!M63+Zapallar!M63</f>
        <v>91244544</v>
      </c>
      <c r="N65" s="206">
        <f>+Cabildo!N63+'La Calera'!N63+Concón!N63+Hijuelas!N63+'La Cruz'!N63+'La Ligua'!N63+Limache!N63+Nogales!N63+Olmue!N63+Papudo!N63+Petorca!N63+Puchuncavi!N63+Quillota!N63+Quilpue!N63+Quintero!N63+'Villa Alemana'!N63+'Viña del Mar'!N63+Zapallar!N63</f>
        <v>0</v>
      </c>
      <c r="O65" s="206">
        <f>+Cabildo!O63+'La Calera'!O63+Concón!O63+Hijuelas!O63+'La Cruz'!O63+'La Ligua'!O63+Limache!O63+Nogales!O63+Olmue!O63+Papudo!O63+Petorca!O63+Puchuncavi!O63+Quillota!O63+Quilpue!O63+Quintero!O63+'Villa Alemana'!O63+'Viña del Mar'!O63+Zapallar!O63</f>
        <v>14244455</v>
      </c>
      <c r="P65" s="206">
        <f>+Cabildo!P63+'La Calera'!P63+Concón!P63+Hijuelas!P63+'La Cruz'!P63+'La Ligua'!P63+Limache!P63+Nogales!P63+Olmue!P63+Papudo!P63+Petorca!P63+Puchuncavi!P63+Quillota!P63+Quilpue!P63+Quintero!P63+'Villa Alemana'!P63+'Viña del Mar'!P63+Zapallar!P63</f>
        <v>0</v>
      </c>
      <c r="Q65" s="206">
        <f>+Cabildo!Q63+'La Calera'!Q63+Concón!Q63+Hijuelas!Q63+'La Cruz'!Q63+'La Ligua'!Q63+Limache!Q63+Nogales!Q63+Olmue!Q63+Papudo!Q63+Petorca!Q63+Puchuncavi!Q63+Quillota!Q63+Quilpue!Q63+Quintero!Q63+'Villa Alemana'!Q63+'Viña del Mar'!Q63+Zapallar!Q63</f>
        <v>0</v>
      </c>
      <c r="R65" s="206">
        <f>+Cabildo!R63+'La Calera'!R63+Concón!R63+Hijuelas!R63+'La Cruz'!R63+'La Ligua'!R63+Limache!R63+Nogales!R63+Olmue!R63+Papudo!R63+Petorca!R63+Puchuncavi!R63+Quillota!R63+Quilpue!R63+Quintero!R63+'Villa Alemana'!R63+'Viña del Mar'!R63+Zapallar!R63</f>
        <v>640641541</v>
      </c>
      <c r="S65" s="206">
        <f>+Cabildo!S63+'La Calera'!S63+Concón!S63+Hijuelas!S63+'La Cruz'!S63+'La Ligua'!S63+Limache!S63+Nogales!S63+Olmue!S63+Papudo!S63+Petorca!S63+Puchuncavi!S63+Quillota!S63+Quilpue!S63+Quintero!S63+'Villa Alemana'!S63+'Viña del Mar'!S63+Zapallar!S63</f>
        <v>0</v>
      </c>
      <c r="T65" s="227">
        <f>+Cabildo!T63+'La Calera'!T63+Concón!T63+Hijuelas!T63+'La Cruz'!T63+'La Ligua'!T63+Limache!T63+Nogales!T63+Olmue!T63+Papudo!T63+Petorca!T63+Puchuncavi!T63+Quillota!T63+Quilpue!T63+Quintero!T63+'Villa Alemana'!T63+'Viña del Mar'!T63+Zapallar!T63</f>
        <v>0</v>
      </c>
      <c r="U65" s="235">
        <f>+Cabildo!U63+'La Calera'!U63+Concón!U63+Hijuelas!U63+'La Cruz'!U63+'La Ligua'!U63+Limache!U63+Nogales!U63+Olmue!U63+Papudo!U63+Petorca!U63+Puchuncavi!U63+Quillota!U63+Quilpue!U63+Quintero!U63+'Villa Alemana'!U63+'Viña del Mar'!U63+Zapallar!U63</f>
        <v>0</v>
      </c>
      <c r="V65" s="206">
        <f>+Cabildo!V63+'La Calera'!V63+Concón!V63+Hijuelas!V63+'La Cruz'!V63+'La Ligua'!V63+Limache!V63+Nogales!V63+Olmue!V63+Papudo!V63+Petorca!V63+Puchuncavi!V63+Quillota!V63+Quilpue!V63+Quintero!V63+'Villa Alemana'!V63+'Viña del Mar'!V63+Zapallar!V63</f>
        <v>0</v>
      </c>
      <c r="W65" s="206">
        <f>+Cabildo!W63+'La Calera'!W63+Concón!W63+Hijuelas!W63+'La Cruz'!W63+'La Ligua'!W63+Limache!W63+Nogales!W63+Olmue!W63+Papudo!W63+Petorca!W63+Puchuncavi!W63+Quillota!W63+Quilpue!W63+Quintero!W63+'Villa Alemana'!W63+'Viña del Mar'!W63+Zapallar!W63</f>
        <v>421849967</v>
      </c>
      <c r="X65" s="206">
        <f>+Cabildo!X63+'La Calera'!X63+Concón!X63+Hijuelas!X63+'La Cruz'!X63+'La Ligua'!X63+Limache!X63+Nogales!X63+Olmue!X63+Papudo!X63+Petorca!X63+Puchuncavi!X63+Quillota!X63+Quilpue!X63+Quintero!X63+'Villa Alemana'!X63+'Viña del Mar'!X63+Zapallar!X63</f>
        <v>967491295</v>
      </c>
      <c r="Y65" s="206">
        <f>+Cabildo!Y63+'La Calera'!Y63+Concón!Y63+Hijuelas!Y63+'La Cruz'!Y63+'La Ligua'!Y63+Limache!Y63+Nogales!Y63+Olmue!Y63+Papudo!Y63+Petorca!Y63+Puchuncavi!Y63+Quillota!Y63+Quilpue!Y63+Quintero!Y63+'Villa Alemana'!Y63+'Viña del Mar'!Y63+Zapallar!Y63</f>
        <v>91244544</v>
      </c>
      <c r="Z65" s="206">
        <f>+Cabildo!Z63+'La Calera'!Z63+Concón!Z63+Hijuelas!Z63+'La Cruz'!Z63+'La Ligua'!Z63+Limache!Z63+Nogales!Z63+Olmue!Z63+Papudo!Z63+Petorca!Z63+Puchuncavi!Z63+Quillota!Z63+Quilpue!Z63+Quintero!Z63+'Villa Alemana'!Z63+'Viña del Mar'!Z63+Zapallar!Z63</f>
        <v>0</v>
      </c>
      <c r="AA65" s="206">
        <f>+Cabildo!AA63+'La Calera'!AA63+Concón!AA63+Hijuelas!AA63+'La Cruz'!AA63+'La Ligua'!AA63+Limache!AA63+Nogales!AA63+Olmue!AA63+Papudo!AA63+Petorca!AA63+Puchuncavi!AA63+Quillota!AA63+Quilpue!AA63+Quintero!AA63+'Villa Alemana'!AA63+'Viña del Mar'!AA63+Zapallar!AA63</f>
        <v>14244455</v>
      </c>
      <c r="AB65" s="206">
        <f>+Cabildo!AB63+'La Calera'!AB63+Concón!AB63+Hijuelas!AB63+'La Cruz'!AB63+'La Ligua'!AB63+Limache!AB63+Nogales!AB63+Olmue!AB63+Papudo!AB63+Petorca!AB63+Puchuncavi!AB63+Quillota!AB63+Quilpue!AB63+Quintero!AB63+'Villa Alemana'!AB63+'Viña del Mar'!AB63+Zapallar!AB63</f>
        <v>0</v>
      </c>
      <c r="AC65" s="206">
        <f>+Cabildo!AC63+'La Calera'!AC63+Concón!AC63+Hijuelas!AC63+'La Cruz'!AC63+'La Ligua'!AC63+Limache!AC63+Nogales!AC63+Olmue!AC63+Papudo!AC63+Petorca!AC63+Puchuncavi!AC63+Quillota!AC63+Quilpue!AC63+Quintero!AC63+'Villa Alemana'!AC63+'Viña del Mar'!AC63+Zapallar!AC63</f>
        <v>0</v>
      </c>
      <c r="AD65" s="206">
        <f>+Cabildo!AD63+'La Calera'!AD63+Concón!AD63+Hijuelas!AD63+'La Cruz'!AD63+'La Ligua'!AD63+Limache!AD63+Nogales!AD63+Olmue!AD63+Papudo!AD63+Petorca!AD63+Puchuncavi!AD63+Quillota!AD63+Quilpue!AD63+Quintero!AD63+'Villa Alemana'!AD63+'Viña del Mar'!AD63+Zapallar!AD63</f>
        <v>640641531</v>
      </c>
      <c r="AE65" s="206">
        <f>+Cabildo!AE63+'La Calera'!AE63+Concón!AE63+Hijuelas!AE63+'La Cruz'!AE63+'La Ligua'!AE63+Limache!AE63+Nogales!AE63+Olmue!AE63+Papudo!AE63+Petorca!AE63+Puchuncavi!AE63+Quillota!AE63+Quilpue!AE63+Quintero!AE63+'Villa Alemana'!AE63+'Viña del Mar'!AE63+Zapallar!AE63</f>
        <v>0</v>
      </c>
      <c r="AF65" s="221">
        <f>+Cabildo!AF63+'La Calera'!AF63+Concón!AF63+Hijuelas!AF63+'La Cruz'!AF63+'La Ligua'!AF63+Limache!AF63+Nogales!AF63+Olmue!AF63+Papudo!AF63+Petorca!AF63+Puchuncavi!AF63+Quillota!AF63+Quilpue!AF63+Quintero!AF63+'Villa Alemana'!AF63+'Viña del Mar'!AF63+Zapallar!AF63</f>
        <v>0</v>
      </c>
      <c r="AG65" s="664">
        <f t="shared" si="9"/>
        <v>2135471792</v>
      </c>
      <c r="AH65" s="431">
        <f t="shared" si="10"/>
        <v>10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3"/>
        <v>0</v>
      </c>
      <c r="AX65" s="431">
        <f t="shared" si="11"/>
        <v>2135471792</v>
      </c>
    </row>
    <row r="66" spans="1:50" ht="15">
      <c r="A66" s="18">
        <v>31</v>
      </c>
      <c r="B66" s="7" t="s">
        <v>91</v>
      </c>
      <c r="C66" s="147"/>
      <c r="D66" s="21">
        <f>+Cabildo!D64+'La Calera'!D64+Concón!D64+Hijuelas!D64+'La Cruz'!D64+'La Ligua'!D64+Limache!D64+Nogales!D64+Olmue!D64+Papudo!D64+Petorca!D64+Puchuncavi!D64+Quillota!D64+Quilpue!D64+Quintero!D64+'Villa Alemana'!D64+'Viña del Mar'!D64+Zapallar!D64</f>
        <v>156676002</v>
      </c>
      <c r="E66" s="142"/>
      <c r="F66" s="143"/>
      <c r="G66" s="160"/>
      <c r="H66" s="324">
        <f t="shared" si="8"/>
        <v>156676002</v>
      </c>
      <c r="I66" s="252">
        <f>+Cabildo!I64+'La Calera'!I64+Concón!I64+Hijuelas!I64+'La Cruz'!I64+'La Ligua'!I64+Limache!I64+Nogales!I64+Olmue!I64+Papudo!I64+Petorca!I64+Puchuncavi!I64+Quillota!I64+Quilpue!I64+Quintero!I64+'Villa Alemana'!I64+'Viña del Mar'!I64+Zapallar!I64</f>
        <v>0</v>
      </c>
      <c r="J66" s="206">
        <f>+Cabildo!J64+'La Calera'!J64+Concón!J64+Hijuelas!J64+'La Cruz'!J64+'La Ligua'!J64+Limache!J64+Nogales!J64+Olmue!J64+Papudo!J64+Petorca!J64+Puchuncavi!J64+Quillota!J64+Quilpue!J64+Quintero!J64+'Villa Alemana'!J64+'Viña del Mar'!J64+Zapallar!J64</f>
        <v>0</v>
      </c>
      <c r="K66" s="206">
        <f>+Cabildo!K64+'La Calera'!K64+Concón!K64+Hijuelas!K64+'La Cruz'!K64+'La Ligua'!K64+Limache!K64+Nogales!K64+Olmue!K64+Papudo!K64+Petorca!K64+Puchuncavi!K64+Quillota!K64+Quilpue!K64+Quintero!K64+'Villa Alemana'!K64+'Viña del Mar'!K64+Zapallar!K64</f>
        <v>109673199</v>
      </c>
      <c r="L66" s="206">
        <f>+Cabildo!L64+'La Calera'!L64+Concón!L64+Hijuelas!L64+'La Cruz'!L64+'La Ligua'!L64+Limache!L64+Nogales!L64+Olmue!L64+Papudo!L64+Petorca!L64+Puchuncavi!L64+Quillota!L64+Quilpue!L64+Quintero!L64+'Villa Alemana'!L64+'Viña del Mar'!L64+Zapallar!L64</f>
        <v>0</v>
      </c>
      <c r="M66" s="206">
        <f>+Cabildo!M64+'La Calera'!M64+Concón!M64+Hijuelas!M64+'La Cruz'!M64+'La Ligua'!M64+Limache!M64+Nogales!M64+Olmue!M64+Papudo!M64+Petorca!M64+Puchuncavi!M64+Quillota!M64+Quilpue!M64+Quintero!M64+'Villa Alemana'!M64+'Viña del Mar'!M64+Zapallar!M64</f>
        <v>0</v>
      </c>
      <c r="N66" s="206">
        <f>+Cabildo!N64+'La Calera'!N64+Concón!N64+Hijuelas!N64+'La Cruz'!N64+'La Ligua'!N64+Limache!N64+Nogales!N64+Olmue!N64+Papudo!N64+Petorca!N64+Puchuncavi!N64+Quillota!N64+Quilpue!N64+Quintero!N64+'Villa Alemana'!N64+'Viña del Mar'!N64+Zapallar!N64</f>
        <v>0</v>
      </c>
      <c r="O66" s="206">
        <f>+Cabildo!O64+'La Calera'!O64+Concón!O64+Hijuelas!O64+'La Cruz'!O64+'La Ligua'!O64+Limache!O64+Nogales!O64+Olmue!O64+Papudo!O64+Petorca!O64+Puchuncavi!O64+Quillota!O64+Quilpue!O64+Quintero!O64+'Villa Alemana'!O64+'Viña del Mar'!O64+Zapallar!O64</f>
        <v>0</v>
      </c>
      <c r="P66" s="206">
        <f>+Cabildo!P64+'La Calera'!P64+Concón!P64+Hijuelas!P64+'La Cruz'!P64+'La Ligua'!P64+Limache!P64+Nogales!P64+Olmue!P64+Papudo!P64+Petorca!P64+Puchuncavi!P64+Quillota!P64+Quilpue!P64+Quintero!P64+'Villa Alemana'!P64+'Viña del Mar'!P64+Zapallar!P64</f>
        <v>0</v>
      </c>
      <c r="Q66" s="206">
        <f>+Cabildo!Q64+'La Calera'!Q64+Concón!Q64+Hijuelas!Q64+'La Cruz'!Q64+'La Ligua'!Q64+Limache!Q64+Nogales!Q64+Olmue!Q64+Papudo!Q64+Petorca!Q64+Puchuncavi!Q64+Quillota!Q64+Quilpue!Q64+Quintero!Q64+'Villa Alemana'!Q64+'Viña del Mar'!Q64+Zapallar!Q64</f>
        <v>0</v>
      </c>
      <c r="R66" s="560">
        <f>+Cabildo!R64+'La Calera'!R64+Concón!R64+Hijuelas!R64+'La Cruz'!R64+'La Ligua'!R64+Limache!R64+Nogales!R64+Olmue!R64+Papudo!R64+Petorca!R64+Puchuncavi!R64+Quillota!R64+Quilpue!R64+Quintero!R64+'Villa Alemana'!R64+'Viña del Mar'!R64+Zapallar!R64</f>
        <v>47002803</v>
      </c>
      <c r="S66" s="206">
        <f>+Cabildo!S64+'La Calera'!S64+Concón!S64+Hijuelas!S64+'La Cruz'!S64+'La Ligua'!S64+Limache!S64+Nogales!S64+Olmue!S64+Papudo!S64+Petorca!S64+Puchuncavi!S64+Quillota!S64+Quilpue!S64+Quintero!S64+'Villa Alemana'!S64+'Viña del Mar'!S64+Zapallar!S64</f>
        <v>0</v>
      </c>
      <c r="T66" s="227">
        <f>+Cabildo!T64+'La Calera'!T64+Concón!T64+Hijuelas!T64+'La Cruz'!T64+'La Ligua'!T64+Limache!T64+Nogales!T64+Olmue!T64+Papudo!T64+Petorca!T64+Puchuncavi!T64+Quillota!T64+Quilpue!T64+Quintero!T64+'Villa Alemana'!T64+'Viña del Mar'!T64+Zapallar!T64</f>
        <v>0</v>
      </c>
      <c r="U66" s="235">
        <f>+Cabildo!U64+'La Calera'!U64+Concón!U64+Hijuelas!U64+'La Cruz'!U64+'La Ligua'!U64+Limache!U64+Nogales!U64+Olmue!U64+Papudo!U64+Petorca!U64+Puchuncavi!U64+Quillota!U64+Quilpue!U64+Quintero!U64+'Villa Alemana'!U64+'Viña del Mar'!U64+Zapallar!U64</f>
        <v>0</v>
      </c>
      <c r="V66" s="206">
        <f>+Cabildo!V64+'La Calera'!V64+Concón!V64+Hijuelas!V64+'La Cruz'!V64+'La Ligua'!V64+Limache!V64+Nogales!V64+Olmue!V64+Papudo!V64+Petorca!V64+Puchuncavi!V64+Quillota!V64+Quilpue!V64+Quintero!V64+'Villa Alemana'!V64+'Viña del Mar'!V64+Zapallar!V64</f>
        <v>0</v>
      </c>
      <c r="W66" s="206">
        <f>+Cabildo!W64+'La Calera'!W64+Concón!W64+Hijuelas!W64+'La Cruz'!W64+'La Ligua'!W64+Limache!W64+Nogales!W64+Olmue!W64+Papudo!W64+Petorca!W64+Puchuncavi!W64+Quillota!W64+Quilpue!W64+Quintero!W64+'Villa Alemana'!W64+'Viña del Mar'!W64+Zapallar!W64</f>
        <v>109673199</v>
      </c>
      <c r="X66" s="206">
        <f>+Cabildo!X64+'La Calera'!X64+Concón!X64+Hijuelas!X64+'La Cruz'!X64+'La Ligua'!X64+Limache!X64+Nogales!X64+Olmue!X64+Papudo!X64+Petorca!X64+Puchuncavi!X64+Quillota!X64+Quilpue!X64+Quintero!X64+'Villa Alemana'!X64+'Viña del Mar'!X64+Zapallar!X64</f>
        <v>0</v>
      </c>
      <c r="Y66" s="206">
        <f>+Cabildo!Y64+'La Calera'!Y64+Concón!Y64+Hijuelas!Y64+'La Cruz'!Y64+'La Ligua'!Y64+Limache!Y64+Nogales!Y64+Olmue!Y64+Papudo!Y64+Petorca!Y64+Puchuncavi!Y64+Quillota!Y64+Quilpue!Y64+Quintero!Y64+'Villa Alemana'!Y64+'Viña del Mar'!Y64+Zapallar!Y64</f>
        <v>0</v>
      </c>
      <c r="Z66" s="206">
        <f>+Cabildo!Z64+'La Calera'!Z64+Concón!Z64+Hijuelas!Z64+'La Cruz'!Z64+'La Ligua'!Z64+Limache!Z64+Nogales!Z64+Olmue!Z64+Papudo!Z64+Petorca!Z64+Puchuncavi!Z64+Quillota!Z64+Quilpue!Z64+Quintero!Z64+'Villa Alemana'!Z64+'Viña del Mar'!Z64+Zapallar!Z64</f>
        <v>0</v>
      </c>
      <c r="AA66" s="206">
        <f>+Cabildo!AA64+'La Calera'!AA64+Concón!AA64+Hijuelas!AA64+'La Cruz'!AA64+'La Ligua'!AA64+Limache!AA64+Nogales!AA64+Olmue!AA64+Papudo!AA64+Petorca!AA64+Puchuncavi!AA64+Quillota!AA64+Quilpue!AA64+Quintero!AA64+'Villa Alemana'!AA64+'Viña del Mar'!AA64+Zapallar!AA64</f>
        <v>0</v>
      </c>
      <c r="AB66" s="206">
        <f>+Cabildo!AB64+'La Calera'!AB64+Concón!AB64+Hijuelas!AB64+'La Cruz'!AB64+'La Ligua'!AB64+Limache!AB64+Nogales!AB64+Olmue!AB64+Papudo!AB64+Petorca!AB64+Puchuncavi!AB64+Quillota!AB64+Quilpue!AB64+Quintero!AB64+'Villa Alemana'!AB64+'Viña del Mar'!AB64+Zapallar!AB64</f>
        <v>0</v>
      </c>
      <c r="AC66" s="206">
        <f>+Cabildo!AC64+'La Calera'!AC64+Concón!AC64+Hijuelas!AC64+'La Cruz'!AC64+'La Ligua'!AC64+Limache!AC64+Nogales!AC64+Olmue!AC64+Papudo!AC64+Petorca!AC64+Puchuncavi!AC64+Quillota!AC64+Quilpue!AC64+Quintero!AC64+'Villa Alemana'!AC64+'Viña del Mar'!AC64+Zapallar!AC64</f>
        <v>0</v>
      </c>
      <c r="AD66" s="206">
        <f>+Cabildo!AD64+'La Calera'!AD64+Concón!AD64+Hijuelas!AD64+'La Cruz'!AD64+'La Ligua'!AD64+Limache!AD64+Nogales!AD64+Olmue!AD64+Papudo!AD64+Petorca!AD64+Puchuncavi!AD64+Quillota!AD64+Quilpue!AD64+Quintero!AD64+'Villa Alemana'!AD64+'Viña del Mar'!AD64+Zapallar!AD64</f>
        <v>0</v>
      </c>
      <c r="AE66" s="206">
        <f>+Cabildo!AE64+'La Calera'!AE64+Concón!AE64+Hijuelas!AE64+'La Cruz'!AE64+'La Ligua'!AE64+Limache!AE64+Nogales!AE64+Olmue!AE64+Papudo!AE64+Petorca!AE64+Puchuncavi!AE64+Quillota!AE64+Quilpue!AE64+Quintero!AE64+'Villa Alemana'!AE64+'Viña del Mar'!AE64+Zapallar!AE64</f>
        <v>47002803</v>
      </c>
      <c r="AF66" s="221">
        <f>+Cabildo!AF64+'La Calera'!AF64+Concón!AF64+Hijuelas!AF64+'La Cruz'!AF64+'La Ligua'!AF64+Limache!AF64+Nogales!AF64+Olmue!AF64+Papudo!AF64+Petorca!AF64+Puchuncavi!AF64+Quillota!AF64+Quilpue!AF64+Quintero!AF64+'Villa Alemana'!AF64+'Viña del Mar'!AF64+Zapallar!AF64</f>
        <v>0</v>
      </c>
      <c r="AG66" s="664">
        <f t="shared" si="9"/>
        <v>156676002</v>
      </c>
      <c r="AH66" s="431">
        <f t="shared" si="10"/>
        <v>0</v>
      </c>
      <c r="AK66" s="235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27"/>
      <c r="AW66" s="228">
        <f t="shared" si="13"/>
        <v>0</v>
      </c>
      <c r="AX66" s="431">
        <f t="shared" si="11"/>
        <v>156676002</v>
      </c>
    </row>
    <row r="67" spans="1:50" ht="15">
      <c r="A67" s="18">
        <v>32</v>
      </c>
      <c r="B67" s="7" t="s">
        <v>92</v>
      </c>
      <c r="C67" s="147"/>
      <c r="D67" s="21">
        <f>+Cabildo!D65+'La Calera'!D65+Concón!D65+Hijuelas!D65+'La Cruz'!D65+'La Ligua'!D65+Limache!D65+Nogales!D65+Olmue!D65+Papudo!D65+Petorca!D65+Puchuncavi!D65+Quillota!D65+Quilpue!D65+Quintero!D65+'Villa Alemana'!D65+'Viña del Mar'!D65+Zapallar!D65</f>
        <v>124134220</v>
      </c>
      <c r="E67" s="142">
        <f>+D67*E33</f>
        <v>86893954</v>
      </c>
      <c r="F67" s="143">
        <f>+D67*F33</f>
        <v>37240266</v>
      </c>
      <c r="G67" s="160"/>
      <c r="H67" s="324">
        <f t="shared" si="8"/>
        <v>124134220</v>
      </c>
      <c r="I67" s="252">
        <f>+Cabildo!I65+'La Calera'!I65+Concón!I65+Hijuelas!I65+'La Cruz'!I65+'La Ligua'!I65+Limache!I65+Nogales!I65+Olmue!I65+Papudo!I65+Petorca!I65+Puchuncavi!I65+Quillota!I65+Quilpue!I65+Quintero!I65+'Villa Alemana'!I65+'Viña del Mar'!I65+Zapallar!I65</f>
        <v>0</v>
      </c>
      <c r="J67" s="206">
        <f>+Cabildo!J65+'La Calera'!J65+Concón!J65+Hijuelas!J65+'La Cruz'!J65+'La Ligua'!J65+Limache!J65+Nogales!J65+Olmue!J65+Papudo!J65+Petorca!J65+Puchuncavi!J65+Quillota!J65+Quilpue!J65+Quintero!J65+'Villa Alemana'!J65+'Viña del Mar'!J65+Zapallar!J65</f>
        <v>0</v>
      </c>
      <c r="K67" s="206">
        <f>+Cabildo!K65+'La Calera'!K65+Concón!K65+Hijuelas!K65+'La Cruz'!K65+'La Ligua'!K65+Limache!K65+Nogales!K65+Olmue!K65+Papudo!K65+Petorca!K65+Puchuncavi!K65+Quillota!K65+Quilpue!K65+Quintero!K65+'Villa Alemana'!K65+'Viña del Mar'!K65+Zapallar!K65</f>
        <v>82071746.399999991</v>
      </c>
      <c r="L67" s="206">
        <f>+Cabildo!L65+'La Calera'!L65+Concón!L65+Hijuelas!L65+'La Cruz'!L65+'La Ligua'!L65+Limache!L65+Nogales!L65+Olmue!L65+Papudo!L65+Petorca!L65+Puchuncavi!L65+Quillota!L65+Quilpue!L65+Quintero!L65+'Villa Alemana'!L65+'Viña del Mar'!L65+Zapallar!L65</f>
        <v>0</v>
      </c>
      <c r="M67" s="206">
        <f>+Cabildo!M65+'La Calera'!M65+Concón!M65+Hijuelas!M65+'La Cruz'!M65+'La Ligua'!M65+Limache!M65+Nogales!M65+Olmue!M65+Papudo!M65+Petorca!M65+Puchuncavi!M65+Quillota!M65+Quilpue!M65+Quintero!M65+'Villa Alemana'!M65+'Viña del Mar'!M65+Zapallar!M65</f>
        <v>0</v>
      </c>
      <c r="N67" s="206">
        <f>+Cabildo!N65+'La Calera'!N65+Concón!N65+Hijuelas!N65+'La Cruz'!N65+'La Ligua'!N65+Limache!N65+Nogales!N65+Olmue!N65+Papudo!N65+Petorca!N65+Puchuncavi!N65+Quillota!N65+Quilpue!N65+Quintero!N65+'Villa Alemana'!N65+'Viña del Mar'!N65+Zapallar!N65</f>
        <v>0</v>
      </c>
      <c r="O67" s="206">
        <f>+Cabildo!O65+'La Calera'!O65+Concón!O65+Hijuelas!O65+'La Cruz'!O65+'La Ligua'!O65+Limache!O65+Nogales!O65+Olmue!O65+Papudo!O65+Petorca!O65+Puchuncavi!O65+Quillota!O65+Quilpue!O65+Quintero!O65+'Villa Alemana'!O65+'Viña del Mar'!O65+Zapallar!O65</f>
        <v>0</v>
      </c>
      <c r="P67" s="206">
        <f>+Cabildo!P65+'La Calera'!P65+Concón!P65+Hijuelas!P65+'La Cruz'!P65+'La Ligua'!P65+Limache!P65+Nogales!P65+Olmue!P65+Papudo!P65+Petorca!P65+Puchuncavi!P65+Quillota!P65+Quilpue!P65+Quintero!P65+'Villa Alemana'!P65+'Viña del Mar'!P65+Zapallar!P65</f>
        <v>0</v>
      </c>
      <c r="Q67" s="206">
        <f>+Cabildo!Q65+'La Calera'!Q65+Concón!Q65+Hijuelas!Q65+'La Cruz'!Q65+'La Ligua'!Q65+Limache!Q65+Nogales!Q65+Olmue!Q65+Papudo!Q65+Petorca!Q65+Puchuncavi!Q65+Quillota!Q65+Quilpue!Q65+Quintero!Q65+'Villa Alemana'!Q65+'Viña del Mar'!Q65+Zapallar!Q65</f>
        <v>0</v>
      </c>
      <c r="R67" s="660">
        <f>+Cabildo!R65+'La Calera'!R65+Concón!R65+Hijuelas!R65+'La Cruz'!R65+'La Ligua'!R65+Limache!R65+Nogales!R65+Olmue!R65+Papudo!R65+Petorca!R65+Puchuncavi!R65+Quillota!R65+Quilpue!R65+Quintero!R65+'Villa Alemana'!R65+'Viña del Mar'!R65+Zapallar!R65</f>
        <v>42062473.600000001</v>
      </c>
      <c r="S67" s="206">
        <f>+Cabildo!S65+'La Calera'!S65+Concón!S65+Hijuelas!S65+'La Cruz'!S65+'La Ligua'!S65+Limache!S65+Nogales!S65+Olmue!S65+Papudo!S65+Petorca!S65+Puchuncavi!S65+Quillota!S65+Quilpue!S65+Quintero!S65+'Villa Alemana'!S65+'Viña del Mar'!S65+Zapallar!S65</f>
        <v>0</v>
      </c>
      <c r="T67" s="227">
        <f>+Cabildo!T65+'La Calera'!T65+Concón!T65+Hijuelas!T65+'La Cruz'!T65+'La Ligua'!T65+Limache!T65+Nogales!T65+Olmue!T65+Papudo!T65+Petorca!T65+Puchuncavi!T65+Quillota!T65+Quilpue!T65+Quintero!T65+'Villa Alemana'!T65+'Viña del Mar'!T65+Zapallar!T65</f>
        <v>0</v>
      </c>
      <c r="U67" s="235">
        <f>+Cabildo!U65+'La Calera'!U65+Concón!U65+Hijuelas!U65+'La Cruz'!U65+'La Ligua'!U65+Limache!U65+Nogales!U65+Olmue!U65+Papudo!U65+Petorca!U65+Puchuncavi!U65+Quillota!U65+Quilpue!U65+Quintero!U65+'Villa Alemana'!U65+'Viña del Mar'!U65+Zapallar!U65</f>
        <v>0</v>
      </c>
      <c r="V67" s="206">
        <f>+Cabildo!V65+'La Calera'!V65+Concón!V65+Hijuelas!V65+'La Cruz'!V65+'La Ligua'!V65+Limache!V65+Nogales!V65+Olmue!V65+Papudo!V65+Petorca!V65+Puchuncavi!V65+Quillota!V65+Quilpue!V65+Quintero!V65+'Villa Alemana'!V65+'Viña del Mar'!V65+Zapallar!V65</f>
        <v>0</v>
      </c>
      <c r="W67" s="206">
        <f>+Cabildo!W65+'La Calera'!W65+Concón!W65+Hijuelas!W65+'La Cruz'!W65+'La Ligua'!W65+Limache!W65+Nogales!W65+Olmue!W65+Papudo!W65+Petorca!W65+Puchuncavi!W65+Quillota!W65+Quilpue!W65+Quintero!W65+'Villa Alemana'!W65+'Viña del Mar'!W65+Zapallar!W65</f>
        <v>82071746</v>
      </c>
      <c r="X67" s="206">
        <f>+Cabildo!X65+'La Calera'!X65+Concón!X65+Hijuelas!X65+'La Cruz'!X65+'La Ligua'!X65+Limache!X65+Nogales!X65+Olmue!X65+Papudo!X65+Petorca!X65+Puchuncavi!X65+Quillota!X65+Quilpue!X65+Quintero!X65+'Villa Alemana'!X65+'Viña del Mar'!X65+Zapallar!X65</f>
        <v>0</v>
      </c>
      <c r="Y67" s="206">
        <f>+Cabildo!Y65+'La Calera'!Y65+Concón!Y65+Hijuelas!Y65+'La Cruz'!Y65+'La Ligua'!Y65+Limache!Y65+Nogales!Y65+Olmue!Y65+Papudo!Y65+Petorca!Y65+Puchuncavi!Y65+Quillota!Y65+Quilpue!Y65+Quintero!Y65+'Villa Alemana'!Y65+'Viña del Mar'!Y65+Zapallar!Y65</f>
        <v>0</v>
      </c>
      <c r="Z67" s="206">
        <f>+Cabildo!Z65+'La Calera'!Z65+Concón!Z65+Hijuelas!Z65+'La Cruz'!Z65+'La Ligua'!Z65+Limache!Z65+Nogales!Z65+Olmue!Z65+Papudo!Z65+Petorca!Z65+Puchuncavi!Z65+Quillota!Z65+Quilpue!Z65+Quintero!Z65+'Villa Alemana'!Z65+'Viña del Mar'!Z65+Zapallar!Z65</f>
        <v>0</v>
      </c>
      <c r="AA67" s="206">
        <f>+Cabildo!AA65+'La Calera'!AA65+Concón!AA65+Hijuelas!AA65+'La Cruz'!AA65+'La Ligua'!AA65+Limache!AA65+Nogales!AA65+Olmue!AA65+Papudo!AA65+Petorca!AA65+Puchuncavi!AA65+Quillota!AA65+Quilpue!AA65+Quintero!AA65+'Villa Alemana'!AA65+'Viña del Mar'!AA65+Zapallar!AA65</f>
        <v>0</v>
      </c>
      <c r="AB67" s="206">
        <f>+Cabildo!AB65+'La Calera'!AB65+Concón!AB65+Hijuelas!AB65+'La Cruz'!AB65+'La Ligua'!AB65+Limache!AB65+Nogales!AB65+Olmue!AB65+Papudo!AB65+Petorca!AB65+Puchuncavi!AB65+Quillota!AB65+Quilpue!AB65+Quintero!AB65+'Villa Alemana'!AB65+'Viña del Mar'!AB65+Zapallar!AB65</f>
        <v>0</v>
      </c>
      <c r="AC67" s="206">
        <f>+Cabildo!AC65+'La Calera'!AC65+Concón!AC65+Hijuelas!AC65+'La Cruz'!AC65+'La Ligua'!AC65+Limache!AC65+Nogales!AC65+Olmue!AC65+Papudo!AC65+Petorca!AC65+Puchuncavi!AC65+Quillota!AC65+Quilpue!AC65+Quintero!AC65+'Villa Alemana'!AC65+'Viña del Mar'!AC65+Zapallar!AC65</f>
        <v>0</v>
      </c>
      <c r="AD67" s="206">
        <f>+Cabildo!AD65+'La Calera'!AD65+Concón!AD65+Hijuelas!AD65+'La Cruz'!AD65+'La Ligua'!AD65+Limache!AD65+Nogales!AD65+Olmue!AD65+Papudo!AD65+Petorca!AD65+Puchuncavi!AD65+Quillota!AD65+Quilpue!AD65+Quintero!AD65+'Villa Alemana'!AD65+'Viña del Mar'!AD65+Zapallar!AD65</f>
        <v>36479187</v>
      </c>
      <c r="AE67" s="206">
        <f>+Cabildo!AE65+'La Calera'!AE65+Concón!AE65+Hijuelas!AE65+'La Cruz'!AE65+'La Ligua'!AE65+Limache!AE65+Nogales!AE65+Olmue!AE65+Papudo!AE65+Petorca!AE65+Puchuncavi!AE65+Quillota!AE65+Quilpue!AE65+Quintero!AE65+'Villa Alemana'!AE65+'Viña del Mar'!AE65+Zapallar!AE65</f>
        <v>1802362.8000000003</v>
      </c>
      <c r="AF67" s="221">
        <f>+Cabildo!AF65+'La Calera'!AF65+Concón!AF65+Hijuelas!AF65+'La Cruz'!AF65+'La Ligua'!AF65+Limache!AF65+Nogales!AF65+Olmue!AF65+Papudo!AF65+Petorca!AF65+Puchuncavi!AF65+Quillota!AF65+Quilpue!AF65+Quintero!AF65+'Villa Alemana'!AF65+'Viña del Mar'!AF65+Zapallar!AF65</f>
        <v>0</v>
      </c>
      <c r="AG67" s="664">
        <f t="shared" si="9"/>
        <v>120353295.8</v>
      </c>
      <c r="AH67" s="431">
        <f t="shared" si="10"/>
        <v>3780924.200000003</v>
      </c>
      <c r="AK67" s="235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27"/>
      <c r="AW67" s="228">
        <f t="shared" si="13"/>
        <v>0</v>
      </c>
      <c r="AX67" s="431">
        <f t="shared" si="11"/>
        <v>120353295.8</v>
      </c>
    </row>
    <row r="68" spans="1:50" ht="15">
      <c r="A68" s="18">
        <v>33</v>
      </c>
      <c r="B68" s="52" t="s">
        <v>107</v>
      </c>
      <c r="C68" s="148"/>
      <c r="D68" s="21">
        <f>+Cabildo!D66+'La Calera'!D66+Concón!D66+Hijuelas!D66+'La Cruz'!D66+'La Ligua'!D66+Limache!D66+Nogales!D66+Olmue!D66+Papudo!D66+Petorca!D66+Puchuncavi!D66+Quillota!D66+Quilpue!D66+Quintero!D66+'Villa Alemana'!D66+'Viña del Mar'!D66+Zapallar!D66</f>
        <v>133931000</v>
      </c>
      <c r="E68" s="174"/>
      <c r="F68" s="175"/>
      <c r="G68" s="176"/>
      <c r="H68" s="324">
        <f t="shared" si="8"/>
        <v>134021000</v>
      </c>
      <c r="I68" s="252">
        <f>+Cabildo!I66+'La Calera'!I66+Concón!I66+Hijuelas!I66+'La Cruz'!I66+'La Ligua'!I66+Limache!I66+Nogales!I66+Olmue!I66+Papudo!I66+Petorca!I66+Puchuncavi!I66+Quillota!I66+Quilpue!I66+Quintero!I66+'Villa Alemana'!I66+'Viña del Mar'!I66+Zapallar!I66</f>
        <v>0</v>
      </c>
      <c r="J68" s="206">
        <f>+Cabildo!J66+'La Calera'!J66+Concón!J66+Hijuelas!J66+'La Cruz'!J66+'La Ligua'!J66+Limache!J66+Nogales!J66+Olmue!J66+Papudo!J66+Petorca!J66+Puchuncavi!J66+Quillota!J66+Quilpue!J66+Quintero!J66+'Villa Alemana'!J66+'Viña del Mar'!J66+Zapallar!J66</f>
        <v>0</v>
      </c>
      <c r="K68" s="206">
        <f>+Cabildo!K66+'La Calera'!K66+Concón!K66+Hijuelas!K66+'La Cruz'!K66+'La Ligua'!K66+Limache!K66+Nogales!K66+Olmue!K66+Papudo!K66+Petorca!K66+Puchuncavi!K66+Quillota!K66+Quilpue!K66+Quintero!K66+'Villa Alemana'!K66+'Viña del Mar'!K66+Zapallar!K66</f>
        <v>11310485</v>
      </c>
      <c r="L68" s="206">
        <f>+Cabildo!L66+'La Calera'!L66+Concón!L66+Hijuelas!L66+'La Cruz'!L66+'La Ligua'!L66+Limache!L66+Nogales!L66+Olmue!L66+Papudo!L66+Petorca!L66+Puchuncavi!L66+Quillota!L66+Quilpue!L66+Quintero!L66+'Villa Alemana'!L66+'Viña del Mar'!L66+Zapallar!L66</f>
        <v>60391060</v>
      </c>
      <c r="M68" s="206">
        <f>+Cabildo!M66+'La Calera'!M66+Concón!M66+Hijuelas!M66+'La Cruz'!M66+'La Ligua'!M66+Limache!M66+Nogales!M66+Olmue!M66+Papudo!M66+Petorca!M66+Puchuncavi!M66+Quillota!M66+Quilpue!M66+Quintero!M66+'Villa Alemana'!M66+'Viña del Mar'!M66+Zapallar!M66</f>
        <v>0</v>
      </c>
      <c r="N68" s="206">
        <f>+Cabildo!N66+'La Calera'!N66+Concón!N66+Hijuelas!N66+'La Cruz'!N66+'La Ligua'!N66+Limache!N66+Nogales!N66+Olmue!N66+Papudo!N66+Petorca!N66+Puchuncavi!N66+Quillota!N66+Quilpue!N66+Quintero!N66+'Villa Alemana'!N66+'Viña del Mar'!N66+Zapallar!N66</f>
        <v>22113150</v>
      </c>
      <c r="O68" s="206">
        <f>+Cabildo!O66+'La Calera'!O66+Concón!O66+Hijuelas!O66+'La Cruz'!O66+'La Ligua'!O66+Limache!O66+Nogales!O66+Olmue!O66+Papudo!O66+Petorca!O66+Puchuncavi!O66+Quillota!O66+Quilpue!O66+Quintero!O66+'Villa Alemana'!O66+'Viña del Mar'!O66+Zapallar!O66</f>
        <v>0</v>
      </c>
      <c r="P68" s="206">
        <f>+Cabildo!P66+'La Calera'!P66+Concón!P66+Hijuelas!P66+'La Cruz'!P66+'La Ligua'!P66+Limache!P66+Nogales!P66+Olmue!P66+Papudo!P66+Petorca!P66+Puchuncavi!P66+Quillota!P66+Quilpue!P66+Quintero!P66+'Villa Alemana'!P66+'Viña del Mar'!P66+Zapallar!P66</f>
        <v>0</v>
      </c>
      <c r="Q68" s="206">
        <f>+Cabildo!Q66+'La Calera'!Q66+Concón!Q66+Hijuelas!Q66+'La Cruz'!Q66+'La Ligua'!Q66+Limache!Q66+Nogales!Q66+Olmue!Q66+Papudo!Q66+Petorca!Q66+Puchuncavi!Q66+Quillota!Q66+Quilpue!Q66+Quintero!Q66+'Villa Alemana'!Q66+'Viña del Mar'!Q66+Zapallar!Q66</f>
        <v>0</v>
      </c>
      <c r="R68" s="560">
        <f>+Cabildo!R66+'La Calera'!R66+Concón!R66+Hijuelas!R66+'La Cruz'!R66+'La Ligua'!R66+Limache!R66+Nogales!R66+Olmue!R66+Papudo!R66+Petorca!R66+Puchuncavi!R66+Quillota!R66+Quilpue!R66+Quintero!R66+'Villa Alemana'!R66+'Viña del Mar'!R66+Zapallar!R66</f>
        <v>40206305</v>
      </c>
      <c r="S68" s="206">
        <f>+Cabildo!S66+'La Calera'!S66+Concón!S66+Hijuelas!S66+'La Cruz'!S66+'La Ligua'!S66+Limache!S66+Nogales!S66+Olmue!S66+Papudo!S66+Petorca!S66+Puchuncavi!S66+Quillota!S66+Quilpue!S66+Quintero!S66+'Villa Alemana'!S66+'Viña del Mar'!S66+Zapallar!S66</f>
        <v>0</v>
      </c>
      <c r="T68" s="227">
        <f>+Cabildo!T66+'La Calera'!T66+Concón!T66+Hijuelas!T66+'La Cruz'!T66+'La Ligua'!T66+Limache!T66+Nogales!T66+Olmue!T66+Papudo!T66+Petorca!T66+Puchuncavi!T66+Quillota!T66+Quilpue!T66+Quintero!T66+'Villa Alemana'!T66+'Viña del Mar'!T66+Zapallar!T66</f>
        <v>0</v>
      </c>
      <c r="U68" s="235">
        <f>+Cabildo!U66+'La Calera'!U66+Concón!U66+Hijuelas!U66+'La Cruz'!U66+'La Ligua'!U66+Limache!U66+Nogales!U66+Olmue!U66+Papudo!U66+Petorca!U66+Puchuncavi!U66+Quillota!U66+Quilpue!U66+Quintero!U66+'Villa Alemana'!U66+'Viña del Mar'!U66+Zapallar!U66</f>
        <v>0</v>
      </c>
      <c r="V68" s="206">
        <f>+Cabildo!V66+'La Calera'!V66+Concón!V66+Hijuelas!V66+'La Cruz'!V66+'La Ligua'!V66+Limache!V66+Nogales!V66+Olmue!V66+Papudo!V66+Petorca!V66+Puchuncavi!V66+Quillota!V66+Quilpue!V66+Quintero!V66+'Villa Alemana'!V66+'Viña del Mar'!V66+Zapallar!V66</f>
        <v>0</v>
      </c>
      <c r="W68" s="206">
        <f>+Cabildo!W66+'La Calera'!W66+Concón!W66+Hijuelas!W66+'La Cruz'!W66+'La Ligua'!W66+Limache!W66+Nogales!W66+Olmue!W66+Papudo!W66+Petorca!W66+Puchuncavi!W66+Quillota!W66+Quilpue!W66+Quintero!W66+'Villa Alemana'!W66+'Viña del Mar'!W66+Zapallar!W66</f>
        <v>11310485</v>
      </c>
      <c r="X68" s="206">
        <f>+Cabildo!X66+'La Calera'!X66+Concón!X66+Hijuelas!X66+'La Cruz'!X66+'La Ligua'!X66+Limache!X66+Nogales!X66+Olmue!X66+Papudo!X66+Petorca!X66+Puchuncavi!X66+Quillota!X66+Quilpue!X66+Quintero!X66+'Villa Alemana'!X66+'Viña del Mar'!X66+Zapallar!X66</f>
        <v>60328060</v>
      </c>
      <c r="Y68" s="206">
        <f>+Cabildo!Y66+'La Calera'!Y66+Concón!Y66+Hijuelas!Y66+'La Cruz'!Y66+'La Ligua'!Y66+Limache!Y66+Nogales!Y66+Olmue!Y66+Papudo!Y66+Petorca!Y66+Puchuncavi!Y66+Quillota!Y66+Quilpue!Y66+Quintero!Y66+'Villa Alemana'!Y66+'Viña del Mar'!Y66+Zapallar!Y66</f>
        <v>0</v>
      </c>
      <c r="Z68" s="206">
        <f>+Cabildo!Z66+'La Calera'!Z66+Concón!Z66+Hijuelas!Z66+'La Cruz'!Z66+'La Ligua'!Z66+Limache!Z66+Nogales!Z66+Olmue!Z66+Papudo!Z66+Petorca!Z66+Puchuncavi!Z66+Quillota!Z66+Quilpue!Z66+Quintero!Z66+'Villa Alemana'!Z66+'Viña del Mar'!Z66+Zapallar!Z66</f>
        <v>22113150</v>
      </c>
      <c r="AA68" s="206">
        <f>+Cabildo!AA66+'La Calera'!AA66+Concón!AA66+Hijuelas!AA66+'La Cruz'!AA66+'La Ligua'!AA66+Limache!AA66+Nogales!AA66+Olmue!AA66+Papudo!AA66+Petorca!AA66+Puchuncavi!AA66+Quillota!AA66+Quilpue!AA66+Quintero!AA66+'Villa Alemana'!AA66+'Viña del Mar'!AA66+Zapallar!AA66</f>
        <v>0</v>
      </c>
      <c r="AB68" s="206">
        <f>+Cabildo!AB66+'La Calera'!AB66+Concón!AB66+Hijuelas!AB66+'La Cruz'!AB66+'La Ligua'!AB66+Limache!AB66+Nogales!AB66+Olmue!AB66+Papudo!AB66+Petorca!AB66+Puchuncavi!AB66+Quillota!AB66+Quilpue!AB66+Quintero!AB66+'Villa Alemana'!AB66+'Viña del Mar'!AB66+Zapallar!AB66</f>
        <v>0</v>
      </c>
      <c r="AC68" s="206">
        <f>+Cabildo!AC66+'La Calera'!AC66+Concón!AC66+Hijuelas!AC66+'La Cruz'!AC66+'La Ligua'!AC66+Limache!AC66+Nogales!AC66+Olmue!AC66+Papudo!AC66+Petorca!AC66+Puchuncavi!AC66+Quillota!AC66+Quilpue!AC66+Quintero!AC66+'Villa Alemana'!AC66+'Viña del Mar'!AC66+Zapallar!AC66</f>
        <v>0</v>
      </c>
      <c r="AD68" s="206">
        <f>+Cabildo!AD66+'La Calera'!AD66+Concón!AD66+Hijuelas!AD66+'La Cruz'!AD66+'La Ligua'!AD66+Limache!AD66+Nogales!AD66+Olmue!AD66+Papudo!AD66+Petorca!AD66+Puchuncavi!AD66+Quillota!AD66+Quilpue!AD66+Quintero!AD66+'Villa Alemana'!AD66+'Viña del Mar'!AD66+Zapallar!AD66</f>
        <v>40206305</v>
      </c>
      <c r="AE68" s="206">
        <f>+Cabildo!AE66+'La Calera'!AE66+Concón!AE66+Hijuelas!AE66+'La Cruz'!AE66+'La Ligua'!AE66+Limache!AE66+Nogales!AE66+Olmue!AE66+Papudo!AE66+Petorca!AE66+Puchuncavi!AE66+Quillota!AE66+Quilpue!AE66+Quintero!AE66+'Villa Alemana'!AE66+'Viña del Mar'!AE66+Zapallar!AE66</f>
        <v>0</v>
      </c>
      <c r="AF68" s="221">
        <f>+Cabildo!AF66+'La Calera'!AF66+Concón!AF66+Hijuelas!AF66+'La Cruz'!AF66+'La Ligua'!AF66+Limache!AF66+Nogales!AF66+Olmue!AF66+Papudo!AF66+Petorca!AF66+Puchuncavi!AF66+Quillota!AF66+Quilpue!AF66+Quintero!AF66+'Villa Alemana'!AF66+'Viña del Mar'!AF66+Zapallar!AF66</f>
        <v>0</v>
      </c>
      <c r="AG68" s="664">
        <f t="shared" si="9"/>
        <v>133958000</v>
      </c>
      <c r="AH68" s="431">
        <f t="shared" si="10"/>
        <v>63000</v>
      </c>
      <c r="AK68" s="235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27"/>
      <c r="AW68" s="228">
        <f t="shared" si="13"/>
        <v>0</v>
      </c>
      <c r="AX68" s="431">
        <f t="shared" si="11"/>
        <v>133958000</v>
      </c>
    </row>
    <row r="69" spans="1:50" ht="15">
      <c r="A69" s="18">
        <v>34</v>
      </c>
      <c r="B69" s="52" t="s">
        <v>180</v>
      </c>
      <c r="C69" s="148"/>
      <c r="D69" s="21">
        <f>+Cabildo!D67+'La Calera'!D67+Concón!D67+Hijuelas!D67+'La Cruz'!D67+'La Ligua'!D67+Limache!D67+Nogales!D67+Olmue!D67+Papudo!D67+Petorca!D67+Puchuncavi!D67+Quillota!D67+Quilpue!D67+Quintero!D67+'Villa Alemana'!D67+'Viña del Mar'!D67+Zapallar!D67</f>
        <v>3256280983</v>
      </c>
      <c r="E69" s="174">
        <f>+D69*E33</f>
        <v>2279396688.0999999</v>
      </c>
      <c r="F69" s="175">
        <f>+D69*F33</f>
        <v>976884294.89999998</v>
      </c>
      <c r="G69" s="176"/>
      <c r="H69" s="324">
        <f t="shared" si="8"/>
        <v>3321978818.4000001</v>
      </c>
      <c r="I69" s="252">
        <f>+Cabildo!I67+'La Calera'!I67+Concón!I67+Hijuelas!I67+'La Cruz'!I67+'La Ligua'!I67+Limache!I67+Nogales!I67+Olmue!I67+Papudo!I67+Petorca!I67+Puchuncavi!I67+Quillota!I67+Quilpue!I67+Quintero!I67+'Villa Alemana'!I67+'Viña del Mar'!I67+Zapallar!I67</f>
        <v>0</v>
      </c>
      <c r="J69" s="206">
        <f>+Cabildo!J67+'La Calera'!J67+Concón!J67+Hijuelas!J67+'La Cruz'!J67+'La Ligua'!J67+Limache!J67+Nogales!J67+Olmue!J67+Papudo!J67+Petorca!J67+Puchuncavi!J67+Quillota!J67+Quilpue!J67+Quintero!J67+'Villa Alemana'!J67+'Viña del Mar'!J67+Zapallar!J67</f>
        <v>0</v>
      </c>
      <c r="K69" s="206">
        <f>+Cabildo!K67+'La Calera'!K67+Concón!K67+Hijuelas!K67+'La Cruz'!K67+'La Ligua'!K67+Limache!K67+Nogales!K67+Olmue!K67+Papudo!K67+Petorca!K67+Puchuncavi!K67+Quillota!K67+Quilpue!K67+Quintero!K67+'Villa Alemana'!K67+'Viña del Mar'!K67+Zapallar!K67</f>
        <v>176400318</v>
      </c>
      <c r="L69" s="206">
        <f>+Cabildo!L67+'La Calera'!L67+Concón!L67+Hijuelas!L67+'La Cruz'!L67+'La Ligua'!L67+Limache!L67+Nogales!L67+Olmue!L67+Papudo!L67+Petorca!L67+Puchuncavi!L67+Quillota!L67+Quilpue!L67+Quintero!L67+'Villa Alemana'!L67+'Viña del Mar'!L67+Zapallar!L67</f>
        <v>841085033</v>
      </c>
      <c r="M69" s="206">
        <f>+Cabildo!M67+'La Calera'!M67+Concón!M67+Hijuelas!M67+'La Cruz'!M67+'La Ligua'!M67+Limache!M67+Nogales!M67+Olmue!M67+Papudo!M67+Petorca!M67+Puchuncavi!M67+Quillota!M67+Quilpue!M67+Quintero!M67+'Villa Alemana'!M67+'Viña del Mar'!M67+Zapallar!M67</f>
        <v>790142070</v>
      </c>
      <c r="N69" s="206">
        <f>+Cabildo!N67+'La Calera'!N67+Concón!N67+Hijuelas!N67+'La Cruz'!N67+'La Ligua'!N67+Limache!N67+Nogales!N67+Olmue!N67+Papudo!N67+Petorca!N67+Puchuncavi!N67+Quillota!N67+Quilpue!N67+Quintero!N67+'Villa Alemana'!N67+'Viña del Mar'!N67+Zapallar!N67</f>
        <v>0</v>
      </c>
      <c r="O69" s="206">
        <f>+Cabildo!O67+'La Calera'!O67+Concón!O67+Hijuelas!O67+'La Cruz'!O67+'La Ligua'!O67+Limache!O67+Nogales!O67+Olmue!O67+Papudo!O67+Petorca!O67+Puchuncavi!O67+Quillota!O67+Quilpue!O67+Quintero!O67+'Villa Alemana'!O67+'Viña del Mar'!O67+Zapallar!O67</f>
        <v>0</v>
      </c>
      <c r="P69" s="206">
        <f>+Cabildo!P67+'La Calera'!P67+Concón!P67+Hijuelas!P67+'La Cruz'!P67+'La Ligua'!P67+Limache!P67+Nogales!P67+Olmue!P67+Papudo!P67+Petorca!P67+Puchuncavi!P67+Quillota!P67+Quilpue!P67+Quintero!P67+'Villa Alemana'!P67+'Viña del Mar'!P67+Zapallar!P67</f>
        <v>564602753.39999998</v>
      </c>
      <c r="Q69" s="206">
        <f>+Cabildo!Q67+'La Calera'!Q67+Concón!Q67+Hijuelas!Q67+'La Cruz'!Q67+'La Ligua'!Q67+Limache!Q67+Nogales!Q67+Olmue!Q67+Papudo!Q67+Petorca!Q67+Puchuncavi!Q67+Quillota!Q67+Quilpue!Q67+Quintero!Q67+'Villa Alemana'!Q67+'Viña del Mar'!Q67+Zapallar!Q67</f>
        <v>84786466</v>
      </c>
      <c r="R69" s="206">
        <f>+Cabildo!R67+'La Calera'!R67+Concón!R67+Hijuelas!R67+'La Cruz'!R67+'La Ligua'!R67+Nogales!R67+Olmue!R67+Papudo!R67+Petorca!R67+Puchuncavi!R67+Quillota!R67+Quilpue!R67+Quintero!R67+'Villa Alemana'!R67+'Viña del Mar'!R67+Zapallar!R67</f>
        <v>426843461</v>
      </c>
      <c r="S69" s="560">
        <f>+Cabildo!S67+'La Calera'!S67+Concón!S67+Hijuelas!S67+'La Cruz'!S67+'La Ligua'!S67+Limache!S67+Nogales!S67+Olmue!S67+Papudo!S67+Petorca!S67+Puchuncavi!S67+Quillota!S67+Quilpue!S67+Quintero!S67+'Villa Alemana'!S67+'Viña del Mar'!S67+Zapallar!S67</f>
        <v>438118717</v>
      </c>
      <c r="T69" s="227">
        <f>+Cabildo!T67+'La Calera'!T67+Concón!T67+Hijuelas!T67+'La Cruz'!T67+'La Ligua'!T67+Limache!T67+Nogales!T67+Olmue!T67+Papudo!T67+Petorca!T67+Puchuncavi!T67+Quillota!T67+Quilpue!T67+Quintero!T67+'Villa Alemana'!T67+'Viña del Mar'!T67+Zapallar!T67</f>
        <v>0</v>
      </c>
      <c r="U69" s="235">
        <f>+Cabildo!U67+'La Calera'!U67+Concón!U67+Hijuelas!U67+'La Cruz'!U67+'La Ligua'!U67+Limache!U67+Nogales!U67+Olmue!U67+Papudo!U67+Petorca!U67+Puchuncavi!U67+Quillota!U67+Quilpue!U67+Quintero!U67+'Villa Alemana'!U67+'Viña del Mar'!U67+Zapallar!U67</f>
        <v>0</v>
      </c>
      <c r="V69" s="206">
        <f>+Cabildo!V67+'La Calera'!V67+Concón!V67+Hijuelas!V67+'La Cruz'!V67+'La Ligua'!V67+Limache!V67+Nogales!V67+Olmue!V67+Papudo!V67+Petorca!V67+Puchuncavi!V67+Quillota!V67+Quilpue!V67+Quintero!V67+'Villa Alemana'!V67+'Viña del Mar'!V67+Zapallar!V67</f>
        <v>0</v>
      </c>
      <c r="W69" s="206">
        <f>+Cabildo!W67+'La Calera'!W67+Concón!W67+Hijuelas!W67+'La Cruz'!W67+'La Ligua'!W67+Limache!W67+Nogales!W67+Olmue!W67+Papudo!W67+Petorca!W67+Puchuncavi!W67+Quillota!W67+Quilpue!W67+Quintero!W67+'Villa Alemana'!W67+'Viña del Mar'!W67+Zapallar!W67</f>
        <v>176400318</v>
      </c>
      <c r="X69" s="206">
        <f>+Cabildo!X67+'La Calera'!X67+Concón!X67+Hijuelas!X67+'La Cruz'!X67+'La Ligua'!X67+Limache!X67+Nogales!X67+Olmue!X67+Papudo!X67+Petorca!X67+Puchuncavi!X67+Quillota!X67+Quilpue!X67+Quintero!X67+'Villa Alemana'!X67+'Viña del Mar'!X67+Zapallar!X67</f>
        <v>841085033</v>
      </c>
      <c r="Y69" s="206">
        <f>+Cabildo!Y67+'La Calera'!Y67+Concón!Y67+Hijuelas!Y67+'La Cruz'!Y67+'La Ligua'!Y67+Limache!Y67+Nogales!Y67+Olmue!Y67+Papudo!Y67+Petorca!Y67+Puchuncavi!Y67+Quillota!Y67+Quilpue!Y67+Quintero!Y67+'Villa Alemana'!Y67+'Viña del Mar'!Y67+Zapallar!Y67</f>
        <v>790142070</v>
      </c>
      <c r="Z69" s="206">
        <f>+Cabildo!Z67+'La Calera'!Z67+Concón!Z67+Hijuelas!Z67+'La Cruz'!Z67+'La Ligua'!Z67+Limache!Z67+Nogales!Z67+Olmue!Z67+Papudo!Z67+Petorca!Z67+Puchuncavi!Z67+Quillota!Z67+Quilpue!Z67+Quintero!Z67+'Villa Alemana'!Z67+'Viña del Mar'!Z67+Zapallar!Z67</f>
        <v>0</v>
      </c>
      <c r="AA69" s="206">
        <f>+Cabildo!AA67+'La Calera'!AA67+Concón!AA67+Hijuelas!AA67+'La Cruz'!AA67+'La Ligua'!AA67+Limache!AA67+Nogales!AA67+Olmue!AA67+Papudo!AA67+Petorca!AA67+Puchuncavi!AA67+Quillota!AA67+Quilpue!AA67+Quintero!AA67+'Villa Alemana'!AA67+'Viña del Mar'!AA67+Zapallar!AA67</f>
        <v>0</v>
      </c>
      <c r="AB69" s="206">
        <f>+Cabildo!AB67+'La Calera'!AB67+Concón!AB67+Hijuelas!AB67+'La Cruz'!AB67+'La Ligua'!AB67+Limache!AB67+Nogales!AB67+Olmue!AB67+Papudo!AB67+Petorca!AB67+Puchuncavi!AB67+Quillota!AB67+Quilpue!AB67+Quintero!AB67+'Villa Alemana'!AB67+'Viña del Mar'!AB67+Zapallar!AB67</f>
        <v>564602753.39999998</v>
      </c>
      <c r="AC69" s="206">
        <f>+Cabildo!AC67+'La Calera'!AC67+Concón!AC67+Hijuelas!AC67+'La Cruz'!AC67+'La Ligua'!AC67+Limache!AC67+Nogales!AC67+Olmue!AC67+Papudo!AC67+Petorca!AC67+Puchuncavi!AC67+Quillota!AC67+Quilpue!AC67+Quintero!AC67+'Villa Alemana'!AC67+'Viña del Mar'!AC67+Zapallar!AC67</f>
        <v>74581873</v>
      </c>
      <c r="AD69" s="206">
        <f>+Cabildo!AD67+'La Calera'!AD67+Concón!AD67+Hijuelas!AD67+'La Cruz'!AD67+'La Ligua'!AD67+Limache!AD67+Nogales!AD67+Olmue!AD67+Papudo!AD67+Petorca!AD67+Puchuncavi!AD67+Quillota!AD67+Quilpue!AD67+Quintero!AD67+'Villa Alemana'!AD67+'Viña del Mar'!AD67+Zapallar!AD67</f>
        <v>329950654</v>
      </c>
      <c r="AE69" s="206">
        <f>+Cabildo!AE67+'La Calera'!AE67+Concón!AE67+Hijuelas!AE67+'La Cruz'!AE67+'La Ligua'!AE67+Limache!AE67+Nogales!AE67+Olmue!AE67+Papudo!AE67+Petorca!AE67+Puchuncavi!AE67+Quillota!AE67+Quilpue!AE67+Quintero!AE67+'Villa Alemana'!AE67+'Viña del Mar'!AE67+Zapallar!AE67</f>
        <v>509799606.60000002</v>
      </c>
      <c r="AF69" s="221">
        <f>+Cabildo!AE67+'La Calera'!AF67+Concón!AF67+Hijuelas!AF67+'La Cruz'!AF67+'La Ligua'!AF67+Limache!AF67+Nogales!AF67+Olmue!AF67+Papudo!AF67+Petorca!AF67+Puchuncavi!AF67+Quillota!AF67+Quilpue!AF67+Quintero!AF67+'Villa Alemana'!AF67+'Viña del Mar'!AF67+Zapallar!AF67</f>
        <v>9424000</v>
      </c>
      <c r="AG69" s="664">
        <f>SUM(U69:AF69)</f>
        <v>3295986308</v>
      </c>
      <c r="AH69" s="431">
        <f>+H69-AG69</f>
        <v>25992510.400000095</v>
      </c>
      <c r="AK69" s="235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27"/>
      <c r="AW69" s="228">
        <f t="shared" si="13"/>
        <v>0</v>
      </c>
      <c r="AX69" s="431">
        <f t="shared" si="11"/>
        <v>3295986308</v>
      </c>
    </row>
    <row r="70" spans="1:50" ht="15">
      <c r="A70" s="18">
        <v>35</v>
      </c>
      <c r="B70" s="52" t="s">
        <v>181</v>
      </c>
      <c r="C70" s="148"/>
      <c r="D70" s="21">
        <f>+Cabildo!D68+'La Calera'!D68+Concón!D68+Hijuelas!D68+'La Cruz'!D68+'La Ligua'!D68+Limache!D68+Nogales!D68+Olmue!D68+Papudo!D68+Petorca!D68+Puchuncavi!D68+Quillota!D68+Quilpue!D68+Quintero!D68+'Villa Alemana'!D68+'Viña del Mar'!D68+Zapallar!D68</f>
        <v>-27264950</v>
      </c>
      <c r="E70" s="174"/>
      <c r="F70" s="175"/>
      <c r="G70" s="176"/>
      <c r="H70" s="324">
        <f>SUM(I70:T70)</f>
        <v>1223299</v>
      </c>
      <c r="I70" s="252">
        <f>+Cabildo!I68+'La Calera'!I68+Concón!I68+Hijuelas!I68+'La Cruz'!I68+'La Ligua'!I68+Limache!I68+Nogales!I68+Olmue!I68+Papudo!I68+Petorca!I68+Puchuncavi!I68+Quillota!I68+Quilpue!I68+Quintero!I68+'Villa Alemana'!I68+'Viña del Mar'!I68+Zapallar!I68</f>
        <v>0</v>
      </c>
      <c r="J70" s="206">
        <f>+Cabildo!J68+'La Calera'!J68+Concón!J68+Hijuelas!J68+'La Cruz'!J68+'La Ligua'!J68+Limache!J68+Nogales!J68+Olmue!J68+Papudo!J68+Petorca!J68+Puchuncavi!J68+Quillota!J68+Quilpue!J68+Quintero!J68+'Villa Alemana'!J68+'Viña del Mar'!J68+Zapallar!J68</f>
        <v>0</v>
      </c>
      <c r="K70" s="206">
        <f>+Cabildo!K68+'La Calera'!K68+Concón!K68+Hijuelas!K68+'La Cruz'!K68+'La Ligua'!K68+Limache!K68+Nogales!K68+Olmue!K68+Papudo!K68+Petorca!K68+Puchuncavi!K68+Quillota!K68+Quilpue!K68+Quintero!K68+'Villa Alemana'!K68+'Viña del Mar'!K68+Zapallar!K68</f>
        <v>0</v>
      </c>
      <c r="L70" s="206">
        <f>+Cabildo!L68+'La Calera'!L68+Concón!L68+Hijuelas!L68+'La Cruz'!L68+'La Ligua'!L68+Limache!L68+Nogales!L68+Olmue!L68+Papudo!L68+Petorca!L68+Puchuncavi!L68+Quillota!L68+Quilpue!L68+Quintero!L68+'Villa Alemana'!L68+'Viña del Mar'!L68+Zapallar!L68</f>
        <v>0</v>
      </c>
      <c r="M70" s="206">
        <f>+Cabildo!M68+'La Calera'!M68+Concón!M68+Hijuelas!M68+'La Cruz'!M68+'La Ligua'!M68+Limache!M68+Nogales!M68+Olmue!M68+Papudo!M68+Petorca!M68+Puchuncavi!M68+Quillota!M68+Quilpue!M68+Quintero!M68+'Villa Alemana'!M68+'Viña del Mar'!M68+Zapallar!M68</f>
        <v>0</v>
      </c>
      <c r="N70" s="206">
        <f>+Cabildo!N68+'La Calera'!N68+Concón!N68+Hijuelas!N68+'La Cruz'!N68+'La Ligua'!N68+Limache!N68+Nogales!N68+Olmue!N68+Papudo!N68+Petorca!N68+Puchuncavi!N68+Quillota!N68+Quilpue!N68+Quintero!N68+'Villa Alemana'!N68+'Viña del Mar'!N68+Zapallar!N68</f>
        <v>0</v>
      </c>
      <c r="O70" s="206">
        <f>+Cabildo!O68+'La Calera'!O68+Concón!O68+Hijuelas!O68+'La Cruz'!O68+'La Ligua'!O68+Limache!O68+Nogales!O68+Olmue!O68+Papudo!O68+Petorca!O68+Puchuncavi!O68+Quillota!O68+Quilpue!O68+Quintero!O68+'Villa Alemana'!O68+'Viña del Mar'!O68+Zapallar!O68</f>
        <v>0</v>
      </c>
      <c r="P70" s="206">
        <f>+Cabildo!P68+'La Calera'!P68+Concón!P68+Hijuelas!P68+'La Cruz'!P68+'La Ligua'!P68+Limache!P68+Nogales!P68+Olmue!P68+Papudo!P68+Petorca!P68+Puchuncavi!P68+Quillota!P68+Quilpue!P68+Quintero!P68+'Villa Alemana'!P68+'Viña del Mar'!P68+Zapallar!P68</f>
        <v>0</v>
      </c>
      <c r="Q70" s="206">
        <f>+Cabildo!Q68+'La Calera'!Q68+Concón!Q68+Hijuelas!Q68+'La Cruz'!Q68+'La Ligua'!Q68+Limache!Q68+Nogales!Q68+Olmue!Q68+Papudo!Q68+Petorca!Q68+Puchuncavi!Q68+Quillota!Q68+Quilpue!Q68+Quintero!Q68+'Villa Alemana'!Q68+'Viña del Mar'!Q68+Zapallar!Q68</f>
        <v>0</v>
      </c>
      <c r="R70" s="206">
        <f>+Cabildo!R68+'La Calera'!R68+Concón!R68+Hijuelas!R68+'La Cruz'!R68+'La Ligua'!R68+Limache!R68+Nogales!R68+Olmue!R68+Papudo!R68+Petorca!R68+Puchuncavi!R68+Quillota!R68+Quilpue!R68+Quintero!R68+'Villa Alemana'!R68+'Viña del Mar'!R68+Zapallar!R68</f>
        <v>1223299</v>
      </c>
      <c r="S70" s="206">
        <f>+Cabildo!S68+'La Calera'!S68+Concón!S68+Hijuelas!S68+'La Cruz'!S68+'La Ligua'!S68+Limache!S68+Nogales!S68+Olmue!S68+Papudo!S68+Petorca!S68+Puchuncavi!S68+Quillota!S68+Quilpue!S68+Quintero!S68+'Villa Alemana'!S68+'Viña del Mar'!S68+Zapallar!S68</f>
        <v>0</v>
      </c>
      <c r="T70" s="227">
        <f>+Cabildo!T68+'La Calera'!T68+Concón!T68+Hijuelas!T68+'La Cruz'!T68+'La Ligua'!T68+Limache!T68+Nogales!T68+Olmue!T68+Papudo!T68+Petorca!T68+Puchuncavi!T68+Quillota!T68+Quilpue!T68+Quintero!T68+'Villa Alemana'!T68+'Viña del Mar'!T68+Zapallar!T68</f>
        <v>0</v>
      </c>
      <c r="U70" s="235">
        <f>+Cabildo!U68+'La Calera'!U68+Concón!U68+Hijuelas!U68+'La Cruz'!U68+'La Ligua'!U68+Limache!U68+Nogales!U68+Olmue!U68+Papudo!U68+Petorca!U68+Puchuncavi!U68+Quillota!U68+Quilpue!U68+Quintero!U68+'Villa Alemana'!U68+'Viña del Mar'!U68+Zapallar!U68</f>
        <v>0</v>
      </c>
      <c r="V70" s="206">
        <f>+Cabildo!V68+'La Calera'!V68+Concón!V68+Hijuelas!V68+'La Cruz'!V68+'La Ligua'!V68+Limache!V68+Nogales!V68+Olmue!V68+Papudo!V68+Petorca!V68+Puchuncavi!V68+Quillota!V68+Quilpue!V68+Quintero!V68+'Villa Alemana'!V68+'Viña del Mar'!V68+Zapallar!V68</f>
        <v>0</v>
      </c>
      <c r="W70" s="206">
        <f>+Cabildo!W68+'La Calera'!W68+Concón!W68+Hijuelas!W68+'La Cruz'!W68+'La Ligua'!W68+Limache!W68+Nogales!W68+Olmue!W68+Papudo!W68+Petorca!W68+Puchuncavi!W68+Quillota!W68+Quilpue!W68+Quintero!W68+'Villa Alemana'!W68+'Viña del Mar'!W68+Zapallar!W68</f>
        <v>0</v>
      </c>
      <c r="X70" s="206">
        <f>+Cabildo!X68+'La Calera'!X68+Concón!X68+Hijuelas!X68+'La Cruz'!X68+'La Ligua'!X68+Limache!X68+Nogales!X68+Olmue!X68+Papudo!X68+Petorca!X68+Puchuncavi!X68+Quillota!X68+Quilpue!X68+Quintero!X68+'Villa Alemana'!X68+'Viña del Mar'!X68+Zapallar!X68</f>
        <v>0</v>
      </c>
      <c r="Y70" s="206">
        <f>+Cabildo!Y68+'La Calera'!Y68+Concón!Y68+Hijuelas!Y68+'La Cruz'!Y68+'La Ligua'!Y68+Limache!Y68+Nogales!Y68+Olmue!Y68+Papudo!Y68+Petorca!Y68+Puchuncavi!Y68+Quillota!Y68+Quilpue!Y68+Quintero!Y68+'Villa Alemana'!Y68+'Viña del Mar'!Y68+Zapallar!Y68</f>
        <v>0</v>
      </c>
      <c r="Z70" s="206">
        <f>+Cabildo!Z68+'La Calera'!Z68+Concón!Z68+Hijuelas!Z68+'La Cruz'!Z68+'La Ligua'!Z68+Limache!Z68+Nogales!Z68+Olmue!Z68+Papudo!Z68+Petorca!Z68+Puchuncavi!Z68+Quillota!Z68+Quilpue!Z68+Quintero!Z68+'Villa Alemana'!Z68+'Viña del Mar'!Z68+Zapallar!Z68</f>
        <v>0</v>
      </c>
      <c r="AA70" s="206">
        <f>+Cabildo!AA68+'La Calera'!AA68+Concón!AA68+Hijuelas!AA68+'La Cruz'!AA68+'La Ligua'!AA68+Limache!AA68+Nogales!AA68+Olmue!AA68+Papudo!AA68+Petorca!AA68+Puchuncavi!AA68+Quillota!AA68+Quilpue!AA68+Quintero!AA68+'Villa Alemana'!AA68+'Viña del Mar'!AA68+Zapallar!AA68</f>
        <v>0</v>
      </c>
      <c r="AB70" s="206">
        <f>+Cabildo!AB68+'La Calera'!AB68+Concón!AB68+Hijuelas!AB68+'La Cruz'!AB68+'La Ligua'!AB68+Limache!AB68+Nogales!AB68+Olmue!AB68+Papudo!AB68+Petorca!AB68+Puchuncavi!AB68+Quillota!AB68+Quilpue!AB68+Quintero!AB68+'Villa Alemana'!AB68+'Viña del Mar'!AB68+Zapallar!AB68</f>
        <v>0</v>
      </c>
      <c r="AC70" s="206">
        <f>+Cabildo!AC68+'La Calera'!AC68+Concón!AC68+Hijuelas!AC68+'La Cruz'!AC68+'La Ligua'!AC68+Limache!AC68+Nogales!AC68+Olmue!AC68+Papudo!AC68+Petorca!AC68+Puchuncavi!AC68+Quillota!AC68+Quilpue!AC68+Quintero!AC68+'Villa Alemana'!AC68+'Viña del Mar'!AC68+Zapallar!AC68</f>
        <v>0</v>
      </c>
      <c r="AD70" s="206">
        <f>+Cabildo!AD68+'La Calera'!AD68+Concón!AD68+Hijuelas!AD68+'La Cruz'!AD68+'La Ligua'!AD68+Limache!AD68+Nogales!AD68+Olmue!AD68+Papudo!AD68+Petorca!AD68+Puchuncavi!AD68+Quillota!AD68+Quilpue!AD68+Quintero!AD68+'Villa Alemana'!AD68+'Viña del Mar'!AD68+Zapallar!AD68</f>
        <v>0</v>
      </c>
      <c r="AE70" s="206">
        <f>+Cabildo!AE68+'La Calera'!AE68+Concón!AE68+Hijuelas!AE68+'La Cruz'!AE68+'La Ligua'!AE68+Limache!AE68+Nogales!AE68+Olmue!AE68+Papudo!AE68+Petorca!AE68+Puchuncavi!AE68+Quillota!AE68+Quilpue!AE68+Quintero!AE68+'Villa Alemana'!AE68+'Viña del Mar'!AE68+Zapallar!AE68</f>
        <v>1223299</v>
      </c>
      <c r="AF70" s="221">
        <f>+Cabildo!AF68+'La Calera'!AF68+Concón!AF68+Hijuelas!AF68+'La Cruz'!AF68+'La Ligua'!AF68+Limache!AF68+Nogales!AF68+Olmue!AF68+Papudo!AF68+Petorca!AF68+Puchuncavi!AF68+Quillota!AF68+Quilpue!AF68+Quintero!AF68+'Villa Alemana'!AF68+'Viña del Mar'!AF68+Zapallar!AF68</f>
        <v>0</v>
      </c>
      <c r="AG70" s="664">
        <f>SUM(U70:AF70)</f>
        <v>1223299</v>
      </c>
      <c r="AH70" s="431">
        <f>+H70-AG70</f>
        <v>0</v>
      </c>
      <c r="AK70" s="235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27"/>
      <c r="AW70" s="228">
        <f t="shared" si="13"/>
        <v>0</v>
      </c>
      <c r="AX70" s="431">
        <f t="shared" si="11"/>
        <v>1223299</v>
      </c>
    </row>
    <row r="71" spans="1:50" ht="15">
      <c r="A71" s="18">
        <v>36</v>
      </c>
      <c r="B71" s="52" t="s">
        <v>182</v>
      </c>
      <c r="C71" s="148"/>
      <c r="D71" s="21">
        <f>+Cabildo!D69+'La Calera'!D69+Concón!D69+Hijuelas!D69+'La Cruz'!D69+'La Ligua'!D69+Limache!D69+Nogales!D69+Olmue!D69+Papudo!D69+Petorca!D69+Puchuncavi!D69+Quillota!D69+Quilpue!D69+Quintero!D69+'Villa Alemana'!D69+'Viña del Mar'!D69+Zapallar!D69</f>
        <v>19371488</v>
      </c>
      <c r="E71" s="174"/>
      <c r="F71" s="175"/>
      <c r="G71" s="176"/>
      <c r="H71" s="324">
        <f t="shared" si="8"/>
        <v>18908653</v>
      </c>
      <c r="I71" s="252">
        <f>+Cabildo!I69+'La Calera'!I69+Concón!I69+Hijuelas!I69+'La Cruz'!I69+'La Ligua'!I69+Limache!I69+Nogales!I69+Olmue!I69+Papudo!I69+Petorca!I69+Puchuncavi!I69+Quillota!I69+Quilpue!I69+Quintero!I69+'Villa Alemana'!I69+'Viña del Mar'!I69+Zapallar!I69</f>
        <v>0</v>
      </c>
      <c r="J71" s="206">
        <f>+Cabildo!J69+'La Calera'!J69+Concón!J69+Hijuelas!J69+'La Cruz'!J69+'La Ligua'!J69+Limache!J69+Nogales!J69+Olmue!J69+Papudo!J69+Petorca!J69+Puchuncavi!J69+Quillota!J69+Quilpue!J69+Quintero!J69+'Villa Alemana'!J69+'Viña del Mar'!J69+Zapallar!J69</f>
        <v>0</v>
      </c>
      <c r="K71" s="206">
        <f>+Cabildo!K69+'La Calera'!K69+Concón!K69+Hijuelas!K69+'La Cruz'!K69+'La Ligua'!K69+Limache!K69+Nogales!K69+Olmue!K69+Papudo!K69+Petorca!K69+Puchuncavi!K69+Quillota!K69+Quilpue!K69+Quintero!K69+'Villa Alemana'!K69+'Viña del Mar'!K69+Zapallar!K69</f>
        <v>0</v>
      </c>
      <c r="L71" s="206">
        <f>+Cabildo!L69+'La Calera'!L69+Concón!L69+Hijuelas!L69+'La Cruz'!L69+'La Ligua'!L69+Limache!L69+Nogales!L69+Olmue!L69+Papudo!L69+Petorca!L69+Puchuncavi!L69+Quillota!L69+Quilpue!L69+Quintero!L69+'Villa Alemana'!L69+'Viña del Mar'!L69+Zapallar!L69</f>
        <v>0</v>
      </c>
      <c r="M71" s="206">
        <f>+Cabildo!M69+'La Calera'!M69+Concón!M69+Hijuelas!M69+'La Cruz'!M69+'La Ligua'!M69+Limache!M69+Nogales!M69+Olmue!M69+Papudo!M69+Petorca!M69+Puchuncavi!M69+Quillota!M69+Quilpue!M69+Quintero!M69+'Villa Alemana'!M69+'Viña del Mar'!M69+Zapallar!M69</f>
        <v>3903653</v>
      </c>
      <c r="N71" s="206">
        <f>+Cabildo!N69+'La Calera'!N69+Concón!N69+Hijuelas!N69+'La Cruz'!N69+'La Ligua'!N69+Limache!N69+Nogales!N69+Olmue!N69+Papudo!N69+Petorca!N69+Puchuncavi!N69+Quillota!N69+Quilpue!N69+Quintero!N69+'Villa Alemana'!N69+'Viña del Mar'!N69+Zapallar!N69</f>
        <v>0</v>
      </c>
      <c r="O71" s="206">
        <f>+Cabildo!O69+'La Calera'!O69+Concón!O69+Hijuelas!O69+'La Cruz'!O69+'La Ligua'!O69+Limache!O69+Nogales!O69+Olmue!O69+Papudo!O69+Petorca!O69+Puchuncavi!O69+Quillota!O69+Quilpue!O69+Quintero!O69+'Villa Alemana'!O69+'Viña del Mar'!O69+Zapallar!O69</f>
        <v>0</v>
      </c>
      <c r="P71" s="206">
        <f>+Cabildo!P69+'La Calera'!P69+Concón!P69+Hijuelas!P69+'La Cruz'!P69+'La Ligua'!P69+Limache!P69+Nogales!P69+Olmue!P69+Papudo!P69+Petorca!P69+Puchuncavi!P69+Quillota!P69+Quilpue!P69+Quintero!P69+'Villa Alemana'!P69+'Viña del Mar'!P69+Zapallar!P69</f>
        <v>0</v>
      </c>
      <c r="Q71" s="206">
        <f>+Cabildo!Q69+'La Calera'!Q69+Concón!Q69+Hijuelas!Q69+'La Cruz'!Q69+'La Ligua'!Q69+Limache!Q69+Nogales!Q69+Olmue!Q69+Papudo!Q69+Petorca!Q69+Puchuncavi!Q69+Quillota!Q69+Quilpue!Q69+Quintero!Q69+'Villa Alemana'!Q69+'Viña del Mar'!Q69+Zapallar!Q69</f>
        <v>0</v>
      </c>
      <c r="R71" s="206">
        <f>+Cabildo!R69+'La Calera'!R69+Concón!R69+Hijuelas!R69+'La Cruz'!R69+'La Ligua'!R69+Limache!R69+Nogales!R69+Olmue!R69+Papudo!R69+Petorca!R69+Puchuncavi!R69+Quillota!R69+Quilpue!R69+Quintero!R69+'Villa Alemana'!R69+'Viña del Mar'!R69+Zapallar!R69</f>
        <v>0</v>
      </c>
      <c r="S71" s="206">
        <f>+Cabildo!S69+'La Calera'!S69+Concón!S69+Hijuelas!S69+'La Cruz'!S69+'La Ligua'!S69+Limache!S69+Nogales!S69+Olmue!S69+Papudo!S69+Petorca!S69+Puchuncavi!S69+Quillota!S69+Quilpue!S69+Quintero!S69+'Villa Alemana'!S69+'Viña del Mar'!S69+Zapallar!S69</f>
        <v>0</v>
      </c>
      <c r="T71" s="227">
        <f>+Cabildo!T69+'La Calera'!T69+Concón!T69+Hijuelas!T69+'La Cruz'!T69+'La Ligua'!T69+Limache!T69+Nogales!T69+Olmue!T69+Papudo!T69+Petorca!T69+Puchuncavi!T69+Quillota!T69+Quilpue!T69+Quintero!T69+'Villa Alemana'!T69+'Viña del Mar'!T69+Zapallar!T69</f>
        <v>15005000</v>
      </c>
      <c r="U71" s="235">
        <f>+Cabildo!U69+'La Calera'!U69+Concón!U69+Hijuelas!U69+'La Cruz'!U69+'La Ligua'!U69+Limache!U69+Nogales!U69+Olmue!U69+Papudo!U69+Petorca!U69+Puchuncavi!U69+Quillota!U69+Quilpue!U69+Quintero!U69+'Villa Alemana'!U69+'Viña del Mar'!U69+Zapallar!U69</f>
        <v>0</v>
      </c>
      <c r="V71" s="206">
        <f>+Cabildo!V69+'La Calera'!V69+Concón!V69+Hijuelas!V69+'La Cruz'!V69+'La Ligua'!V69+Limache!V69+Nogales!V69+Olmue!V69+Papudo!V69+Petorca!V69+Puchuncavi!V69+Quillota!V69+Quilpue!V69+Quintero!V69+'Villa Alemana'!V69+'Viña del Mar'!V69+Zapallar!V69</f>
        <v>0</v>
      </c>
      <c r="W71" s="206">
        <f>+Cabildo!W69+'La Calera'!W69+Concón!W69+Hijuelas!W69+'La Cruz'!W69+'La Ligua'!W69+Limache!W69+Nogales!W69+Olmue!W69+Papudo!W69+Petorca!W69+Puchuncavi!W69+Quillota!W69+Quilpue!W69+Quintero!W69+'Villa Alemana'!W69+'Viña del Mar'!W69+Zapallar!W69</f>
        <v>0</v>
      </c>
      <c r="X71" s="206">
        <f>+Cabildo!X69+'La Calera'!X69+Concón!X69+Hijuelas!X69+'La Cruz'!X69+'La Ligua'!X69+Limache!X69+Nogales!X69+Olmue!X69+Papudo!X69+Petorca!X69+Puchuncavi!X69+Quillota!X69+Quilpue!X69+Quintero!X69+'Villa Alemana'!X69+'Viña del Mar'!X69+Zapallar!X69</f>
        <v>0</v>
      </c>
      <c r="Y71" s="206">
        <f>+Cabildo!Y69+'La Calera'!Y69+Concón!Y69+Hijuelas!Y69+'La Cruz'!Y69+'La Ligua'!Y69+Limache!Y69+Nogales!Y69+Olmue!Y69+Papudo!Y69+Petorca!Y69+Puchuncavi!Y69+Quillota!Y69+Quilpue!Y69+Quintero!Y69+'Villa Alemana'!Y69+'Viña del Mar'!Y69+Zapallar!Y69</f>
        <v>3903653</v>
      </c>
      <c r="Z71" s="206">
        <f>+Cabildo!Z69+'La Calera'!Z69+Concón!Z69+Hijuelas!Z69+'La Cruz'!Z69+'La Ligua'!Z69+Limache!Z69+Nogales!Z69+Olmue!Z69+Papudo!Z69+Petorca!Z69+Puchuncavi!Z69+Quillota!Z69+Quilpue!Z69+Quintero!Z69+'Villa Alemana'!Z69+'Viña del Mar'!Z69+Zapallar!Z69</f>
        <v>0</v>
      </c>
      <c r="AA71" s="206">
        <f>+Cabildo!AA69+'La Calera'!AA69+Concón!AA69+Hijuelas!AA69+'La Cruz'!AA69+'La Ligua'!AA69+Limache!AA69+Nogales!AA69+Olmue!AA69+Papudo!AA69+Petorca!AA69+Puchuncavi!AA69+Quillota!AA69+Quilpue!AA69+Quintero!AA69+'Villa Alemana'!AA69+'Viña del Mar'!AA69+Zapallar!AA69</f>
        <v>0</v>
      </c>
      <c r="AB71" s="206">
        <f>+Cabildo!AB69+'La Calera'!AB69+Concón!AB69+Hijuelas!AB69+'La Cruz'!AB69+'La Ligua'!AB69+Limache!AB69+Nogales!AB69+Olmue!AB69+Papudo!AB69+Petorca!AB69+Puchuncavi!AB69+Quillota!AB69+Quilpue!AB69+Quintero!AB69+'Villa Alemana'!AB69+'Viña del Mar'!AB69+Zapallar!AB69</f>
        <v>0</v>
      </c>
      <c r="AC71" s="206">
        <f>+Cabildo!AC69+'La Calera'!AC69+Concón!AC69+Hijuelas!AC69+'La Cruz'!AC69+'La Ligua'!AC69+Limache!AC69+Nogales!AC69+Olmue!AC69+Papudo!AC69+Petorca!AC69+Puchuncavi!AC69+Quillota!AC69+Quilpue!AC69+Quintero!AC69+'Villa Alemana'!AC69+'Viña del Mar'!AC69+Zapallar!AC69</f>
        <v>0</v>
      </c>
      <c r="AD71" s="206">
        <f>+Cabildo!AD69+'La Calera'!AD69+Concón!AD69+Hijuelas!AD69+'La Cruz'!AD69+'La Ligua'!AD69+Limache!AD69+Nogales!AD69+Olmue!AD69+Papudo!AD69+Petorca!AD69+Puchuncavi!AD69+Quillota!AD69+Quilpue!AD69+Quintero!AD69+'Villa Alemana'!AD69+'Viña del Mar'!AD69+Zapallar!AD69</f>
        <v>0</v>
      </c>
      <c r="AE71" s="206">
        <f>+Cabildo!AE69+'La Calera'!AE69+Concón!AE69+Hijuelas!AE69+'La Cruz'!AE69+'La Ligua'!AE69+Limache!AE69+Nogales!AE69+Olmue!AE69+Papudo!AE69+Petorca!AE69+Puchuncavi!AE69+Quillota!AE69+Quilpue!AE69+Quintero!AE69+'Villa Alemana'!AE69+'Viña del Mar'!AE69+Zapallar!AE69</f>
        <v>0</v>
      </c>
      <c r="AF71" s="221">
        <f>+Cabildo!AF69+'La Calera'!AF69+Concón!AF69+Hijuelas!AF69+'La Cruz'!AF69+'La Ligua'!AF69+Limache!AF69+Nogales!AF69+Olmue!AF69+Papudo!AF69+Petorca!AF69+Puchuncavi!AF69+Quillota!AF69+Quilpue!AF69+Quintero!AF69+'Villa Alemana'!AF69+'Viña del Mar'!AF69+Zapallar!AF69</f>
        <v>15005000</v>
      </c>
      <c r="AG71" s="664">
        <f>SUM(U71:AF71)</f>
        <v>18908653</v>
      </c>
      <c r="AH71" s="431">
        <f>+H71-AG71</f>
        <v>0</v>
      </c>
      <c r="AK71" s="235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27"/>
      <c r="AW71" s="228">
        <f t="shared" si="13"/>
        <v>0</v>
      </c>
      <c r="AX71" s="431">
        <f t="shared" si="11"/>
        <v>18908653</v>
      </c>
    </row>
    <row r="72" spans="1:50" ht="15">
      <c r="A72" s="18">
        <v>37</v>
      </c>
      <c r="B72" s="52" t="s">
        <v>132</v>
      </c>
      <c r="C72" s="148"/>
      <c r="D72" s="21">
        <f>+Cabildo!D70+'La Calera'!D70+Concón!D70+Hijuelas!D70+'La Cruz'!D70+'La Ligua'!D70+Limache!D70+Nogales!D70+Olmue!D70+Papudo!D70+Petorca!D70+Puchuncavi!D70+Quillota!D70+Quilpue!D70+Quintero!D70+'Villa Alemana'!D70+'Viña del Mar'!D70+Zapallar!D70</f>
        <v>619553020</v>
      </c>
      <c r="E72" s="174"/>
      <c r="F72" s="175"/>
      <c r="G72" s="176"/>
      <c r="H72" s="324">
        <f t="shared" si="8"/>
        <v>619553000</v>
      </c>
      <c r="I72" s="252">
        <f>+Cabildo!I70+'La Calera'!I70+Concón!I70+Hijuelas!I70+'La Cruz'!I70+'La Ligua'!I70+Limache!I70+Nogales!I70+Olmue!I70+Papudo!I70+Petorca!I70+Puchuncavi!I70+Quillota!I70+Quilpue!I70+Quintero!I70+'Villa Alemana'!I70+'Viña del Mar'!I70+Zapallar!I70</f>
        <v>0</v>
      </c>
      <c r="J72" s="206">
        <f>+Cabildo!J70+'La Calera'!J70+Concón!J70+Hijuelas!J70+'La Cruz'!J70+'La Ligua'!J70+Limache!J70+Nogales!J70+Olmue!J70+Papudo!J70+Petorca!J70+Puchuncavi!J70+Quillota!J70+Quilpue!J70+Quintero!J70+'Villa Alemana'!J70+'Viña del Mar'!J70+Zapallar!J70</f>
        <v>0</v>
      </c>
      <c r="K72" s="206">
        <f>+Cabildo!K70+'La Calera'!K70+Concón!K70+Hijuelas!K70+'La Cruz'!K70+'La Ligua'!K70+Limache!K70+Nogales!K70+Olmue!K70+Papudo!K70+Petorca!K70+Puchuncavi!K70+Quillota!K70+Quilpue!K70+Quintero!K70+'Villa Alemana'!K70+'Viña del Mar'!K70+Zapallar!K70</f>
        <v>0</v>
      </c>
      <c r="L72" s="206">
        <f>+Cabildo!L70+'La Calera'!L70+Concón!L70+Hijuelas!L70+'La Cruz'!L70+'La Ligua'!L70+Limache!L70+Nogales!L70+Olmue!L70+Papudo!L70+Petorca!L70+Puchuncavi!L70+Quillota!L70+Quilpue!L70+Quintero!L70+'Villa Alemana'!L70+'Viña del Mar'!L70+Zapallar!L70</f>
        <v>0</v>
      </c>
      <c r="M72" s="206">
        <f>+Cabildo!M70+'La Calera'!M70+Concón!M70+Hijuelas!M70+'La Cruz'!M70+'La Ligua'!M70+Limache!M70+Nogales!M70+Olmue!M70+Papudo!M70+Petorca!M70+Puchuncavi!M70+Quillota!M70+Quilpue!M70+Quintero!M70+'Villa Alemana'!M70+'Viña del Mar'!M70+Zapallar!M70</f>
        <v>309776496</v>
      </c>
      <c r="N72" s="206">
        <f>+Cabildo!N70+'La Calera'!N70+Concón!N70+Hijuelas!N70+'La Cruz'!N70+'La Ligua'!N70+Limache!N70+Nogales!N70+Olmue!N70+Papudo!N70+Petorca!N70+Puchuncavi!N70+Quillota!N70+Quilpue!N70+Quintero!N70+'Villa Alemana'!N70+'Viña del Mar'!N70+Zapallar!N70</f>
        <v>0</v>
      </c>
      <c r="O72" s="206">
        <f>+Cabildo!O70+'La Calera'!O70+Concón!O70+Hijuelas!O70+'La Cruz'!O70+'La Ligua'!O70+Limache!O70+Nogales!O70+Olmue!O70+Papudo!O70+Petorca!O70+Puchuncavi!O70+Quillota!O70+Quilpue!O70+Quintero!O70+'Villa Alemana'!O70+'Viña del Mar'!O70+Zapallar!O70</f>
        <v>0</v>
      </c>
      <c r="P72" s="206">
        <f>+Cabildo!P70+'La Calera'!P70+Concón!P70+Hijuelas!P70+'La Cruz'!P70+'La Ligua'!P70+Limache!P70+Nogales!P70+Olmue!P70+Papudo!P70+Petorca!P70+Puchuncavi!P70+Quillota!P70+Quilpue!P70+Quintero!P70+'Villa Alemana'!P70+'Viña del Mar'!P70+Zapallar!P70</f>
        <v>154888248</v>
      </c>
      <c r="Q72" s="206">
        <f>+Cabildo!Q70+'La Calera'!Q70+Concón!Q70+Hijuelas!Q70+'La Cruz'!Q70+'La Ligua'!Q70+Limache!Q70+Nogales!Q70+Olmue!Q70+Papudo!Q70+Petorca!Q70+Puchuncavi!Q70+Quillota!Q70+Quilpue!Q70+Quintero!Q70+'Villa Alemana'!Q70+'Viña del Mar'!Q70+Zapallar!Q70</f>
        <v>0</v>
      </c>
      <c r="R72" s="206">
        <f>+Cabildo!R70+'La Calera'!R70+Concón!R70+Hijuelas!R70+'La Cruz'!R70+'La Ligua'!R70+Limache!R70+Nogales!R70+Olmue!R70+Papudo!R70+Petorca!R70+Puchuncavi!R70+Quillota!R70+Quilpue!R70+Quintero!R70+'Villa Alemana'!R70+'Viña del Mar'!R70+Zapallar!R70</f>
        <v>154888256</v>
      </c>
      <c r="S72" s="206">
        <f>+Cabildo!S70+'La Calera'!S70+Concón!S70+Hijuelas!S70+'La Cruz'!S70+'La Ligua'!S70+Limache!S70+Nogales!S70+Olmue!S70+Papudo!S70+Petorca!S70+Puchuncavi!S70+Quillota!S70+Quilpue!S70+Quintero!S70+'Villa Alemana'!S70+'Viña del Mar'!S70+Zapallar!S70</f>
        <v>0</v>
      </c>
      <c r="T72" s="227">
        <f>+Cabildo!T70+'La Calera'!T70+Concón!T70+Hijuelas!T70+'La Cruz'!T70+'La Ligua'!T70+Limache!T70+Nogales!T70+Olmue!T70+Papudo!T70+Petorca!T70+Puchuncavi!T70+Quillota!T70+Quilpue!T70+Quintero!T70+'Villa Alemana'!T70+'Viña del Mar'!T70+Zapallar!T70</f>
        <v>0</v>
      </c>
      <c r="U72" s="235">
        <f>+Cabildo!U70+'La Calera'!U70+Concón!U70+Hijuelas!U70+'La Cruz'!U70+'La Ligua'!U70+Limache!U70+Nogales!U70+Olmue!U70+Papudo!U70+Petorca!U70+Puchuncavi!U70+Quillota!U70+Quilpue!U70+Quintero!U70+'Villa Alemana'!U70+'Viña del Mar'!U70+Zapallar!U70</f>
        <v>0</v>
      </c>
      <c r="V72" s="206">
        <f>+Cabildo!V70+'La Calera'!V70+Concón!V70+Hijuelas!V70+'La Cruz'!V70+'La Ligua'!V70+Limache!V70+Nogales!V70+Olmue!V70+Papudo!V70+Petorca!V70+Puchuncavi!V70+Quillota!V70+Quilpue!V70+Quintero!V70+'Villa Alemana'!V70+'Viña del Mar'!V70+Zapallar!V70</f>
        <v>0</v>
      </c>
      <c r="W72" s="206">
        <f>+Cabildo!W70+'La Calera'!W70+Concón!W70+Hijuelas!W70+'La Cruz'!W70+'La Ligua'!W70+Limache!W70+Nogales!W70+Olmue!W70+Papudo!W70+Petorca!W70+Puchuncavi!W70+Quillota!W70+Quilpue!W70+Quintero!W70+'Villa Alemana'!W70+'Viña del Mar'!W70+Zapallar!W70</f>
        <v>0</v>
      </c>
      <c r="X72" s="206">
        <f>+Cabildo!X70+'La Calera'!X70+Concón!X70+Hijuelas!X70+'La Cruz'!X70+'La Ligua'!X70+Limache!X70+Nogales!X70+Olmue!X70+Papudo!X70+Petorca!X70+Puchuncavi!X70+Quillota!X70+Quilpue!X70+Quintero!X70+'Villa Alemana'!X70+'Viña del Mar'!X70+Zapallar!X70</f>
        <v>0</v>
      </c>
      <c r="Y72" s="206">
        <f>+Cabildo!Y70+'La Calera'!Y70+Concón!Y70+Hijuelas!Y70+'La Cruz'!Y70+'La Ligua'!Y70+Limache!Y70+Nogales!Y70+Olmue!Y70+Papudo!Y70+Petorca!Y70+Puchuncavi!Y70+Quillota!Y70+Quilpue!Y70+Quintero!Y70+'Villa Alemana'!Y70+'Viña del Mar'!Y70+Zapallar!Y70</f>
        <v>309776496</v>
      </c>
      <c r="Z72" s="206">
        <f>+Cabildo!Z70+'La Calera'!Z70+Concón!Z70+Hijuelas!Z70+'La Cruz'!Z70+'La Ligua'!Z70+Limache!Z70+Nogales!Z70+Olmue!Z70+Papudo!Z70+Petorca!Z70+Puchuncavi!Z70+Quillota!Z70+Quilpue!Z70+Quintero!Z70+'Villa Alemana'!Z70+'Viña del Mar'!Z70+Zapallar!Z70</f>
        <v>0</v>
      </c>
      <c r="AA72" s="206">
        <f>+Cabildo!AA70+'La Calera'!AA70+Concón!AA70+Hijuelas!AA70+'La Cruz'!AA70+'La Ligua'!AA70+Limache!AA70+Nogales!AA70+Olmue!AA70+Papudo!AA70+Petorca!AA70+Puchuncavi!AA70+Quillota!AA70+Quilpue!AA70+Quintero!AA70+'Villa Alemana'!AA70+'Viña del Mar'!AA70+Zapallar!AA70</f>
        <v>0</v>
      </c>
      <c r="AB72" s="206">
        <f>+Cabildo!AB70+'La Calera'!AB70+Concón!AB70+Hijuelas!AB70+'La Cruz'!AB70+'La Ligua'!AB70+Limache!AB70+Nogales!AB70+Olmue!AB70+Papudo!AB70+Petorca!AB70+Puchuncavi!AB70+Quillota!AB70+Quilpue!AB70+Quintero!AB70+'Villa Alemana'!AB70+'Viña del Mar'!AB70+Zapallar!AB70</f>
        <v>0</v>
      </c>
      <c r="AC72" s="206">
        <f>+Cabildo!AC70+'La Calera'!AC70+Concón!AC70+Hijuelas!AC70+'La Cruz'!AC70+'La Ligua'!AC70+Limache!AC70+Nogales!AC70+Olmue!AC70+Papudo!AC70+Petorca!AC70+Puchuncavi!AC70+Quillota!AC70+Quilpue!AC70+Quintero!AC70+'Villa Alemana'!AC70+'Viña del Mar'!AC70+Zapallar!AC70</f>
        <v>154888248</v>
      </c>
      <c r="AD72" s="206">
        <f>+Cabildo!AD70+'La Calera'!AD70+Concón!AD70+Hijuelas!AD70+'La Cruz'!AD70+'La Ligua'!AD70+Limache!AD70+Nogales!AD70+Olmue!AD70+Papudo!AD70+Petorca!AD70+Puchuncavi!AD70+Quillota!AD70+Quilpue!AD70+Quintero!AD70+'Villa Alemana'!AD70+'Viña del Mar'!AD70+Zapallar!AD70</f>
        <v>154888256</v>
      </c>
      <c r="AE72" s="206">
        <f>+Cabildo!AE70+'La Calera'!AE70+Concón!AE70+Hijuelas!AE70+'La Cruz'!AE70+'La Ligua'!AE70+Limache!AE70+Nogales!AE70+Olmue!AE70+Papudo!AE70+Petorca!AE70+Puchuncavi!AE70+Quillota!AE70+Quilpue!AE70+Quintero!AE70+'Villa Alemana'!AE70+'Viña del Mar'!AE70+Zapallar!AE70</f>
        <v>0</v>
      </c>
      <c r="AF72" s="221">
        <f>+Cabildo!AF70+'La Calera'!AF70+Concón!AF70+Hijuelas!AF70+'La Cruz'!AF70+'La Ligua'!AF70+Limache!AF70+Nogales!AF70+Olmue!AF70+Papudo!AF70+Petorca!AF70+Puchuncavi!AF70+Quillota!AF70+Quilpue!AF70+Quintero!AF70+'Villa Alemana'!AF70+'Viña del Mar'!AF70+Zapallar!AF70</f>
        <v>0</v>
      </c>
      <c r="AG72" s="664">
        <f t="shared" si="9"/>
        <v>619553000</v>
      </c>
      <c r="AH72" s="431">
        <f t="shared" si="10"/>
        <v>0</v>
      </c>
      <c r="AK72" s="235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27"/>
      <c r="AW72" s="228">
        <f t="shared" si="13"/>
        <v>0</v>
      </c>
      <c r="AX72" s="431">
        <f t="shared" si="11"/>
        <v>619553000</v>
      </c>
    </row>
    <row r="73" spans="1:50" ht="19.5" customHeight="1">
      <c r="A73" s="18">
        <v>38</v>
      </c>
      <c r="B73" s="52" t="s">
        <v>129</v>
      </c>
      <c r="C73" s="148"/>
      <c r="D73" s="21">
        <f>+Cabildo!D71+'La Calera'!D71+Concón!D71+Hijuelas!D71+'La Cruz'!D71+'La Ligua'!D71+Limache!D71+Nogales!D71+Olmue!D71+Papudo!D71+Petorca!D71+Puchuncavi!D71+Quillota!D71+Quilpue!D71+Quintero!D71+'Villa Alemana'!D71+'Viña del Mar'!D71+Zapallar!D71</f>
        <v>36246546</v>
      </c>
      <c r="E73" s="174"/>
      <c r="F73" s="175"/>
      <c r="G73" s="176"/>
      <c r="H73" s="324">
        <f t="shared" si="8"/>
        <v>37140721</v>
      </c>
      <c r="I73" s="252">
        <f>+Cabildo!I71+'La Calera'!I71+Concón!I71+Hijuelas!I71+'La Cruz'!I71+'La Ligua'!I71+Limache!I71+Nogales!I71+Olmue!I71+Papudo!I71+Petorca!I71+Puchuncavi!I71+Quillota!I71+Quilpue!I71+Quintero!I71+'Villa Alemana'!I71+'Viña del Mar'!I71+Zapallar!I71</f>
        <v>0</v>
      </c>
      <c r="J73" s="206">
        <f>+Cabildo!J71+'La Calera'!J71+Concón!J71+Hijuelas!J71+'La Cruz'!J71+'La Ligua'!J71+Limache!J71+Nogales!J71+Olmue!J71+Papudo!J71+Petorca!J71+Puchuncavi!J71+Quillota!J71+Quilpue!J71+Quintero!J71+'Villa Alemana'!J71+'Viña del Mar'!J71+Zapallar!J71</f>
        <v>0</v>
      </c>
      <c r="K73" s="206">
        <f>+Cabildo!K71+'La Calera'!K71+Concón!K71+Hijuelas!K71+'La Cruz'!K71+'La Ligua'!K71+Limache!K71+Nogales!K71+Olmue!K71+Papudo!K71+Petorca!K71+Puchuncavi!K71+Quillota!K71+Quilpue!K71+Quintero!K71+'Villa Alemana'!K71+'Viña del Mar'!K71+Zapallar!K71</f>
        <v>0</v>
      </c>
      <c r="L73" s="206">
        <f>+Cabildo!L71+'La Calera'!L71+Concón!L71+Hijuelas!L71+'La Cruz'!L71+'La Ligua'!L71+Limache!L71+Nogales!L71+Olmue!L71+Papudo!L71+Petorca!L71+Puchuncavi!L71+Quillota!L71+Quilpue!L71+Quintero!L71+'Villa Alemana'!L71+'Viña del Mar'!L71+Zapallar!L71</f>
        <v>2408507</v>
      </c>
      <c r="M73" s="206">
        <f>+Cabildo!M71+'La Calera'!M71+Concón!M71+Hijuelas!M71+'La Cruz'!M71+'La Ligua'!M71+Limache!M71+Nogales!M71+Olmue!M71+Papudo!M71+Petorca!M71+Puchuncavi!M71+Quillota!M71+Quilpue!M71+Quintero!M71+'Villa Alemana'!M71+'Viña del Mar'!M71+Zapallar!M71</f>
        <v>19637443</v>
      </c>
      <c r="N73" s="206">
        <f>+Cabildo!N71+'La Calera'!N71+Concón!N71+Hijuelas!N71+'La Cruz'!N71+'La Ligua'!N71+Limache!N71+Nogales!N71+Olmue!N71+Papudo!N71+Petorca!N71+Puchuncavi!N71+Quillota!N71+Quilpue!N71+Quintero!N71+'Villa Alemana'!N71+'Viña del Mar'!N71+Zapallar!N71</f>
        <v>2314558</v>
      </c>
      <c r="O73" s="560">
        <f>+Cabildo!O71+'La Calera'!O71+Concón!O71+Hijuelas!O71+'La Cruz'!O71+'La Ligua'!O71+Limache!O71+Nogales!O71+Olmue!O71+Papudo!O71+Petorca!O71+Puchuncavi!O71+Quillota!O71+Quilpue!O71+Quintero!O71+'Villa Alemana'!O71+'Viña del Mar'!O71+Zapallar!O71</f>
        <v>1012074</v>
      </c>
      <c r="P73" s="206">
        <f>+Cabildo!P71+'La Calera'!P71+Concón!P71+Hijuelas!P71+'La Cruz'!P71+'La Ligua'!P71+Limache!P71+Nogales!P71+Olmue!P71+Papudo!P71+Petorca!P71+Puchuncavi!P71+Quillota!P71+Quilpue!P71+Quintero!P71+'Villa Alemana'!P71+'Viña del Mar'!P71+Zapallar!P71</f>
        <v>0</v>
      </c>
      <c r="Q73" s="206">
        <f>+Cabildo!Q71+'La Calera'!Q71+Concón!Q71+Hijuelas!Q71+'La Cruz'!Q71+'La Ligua'!Q71+Limache!Q71+Nogales!Q71+Olmue!Q71+Papudo!Q71+Petorca!Q71+Puchuncavi!Q71+Quillota!Q71+Quilpue!Q71+Quintero!Q71+'Villa Alemana'!Q71+'Viña del Mar'!Q71+Zapallar!Q71</f>
        <v>0</v>
      </c>
      <c r="R73" s="206">
        <f>+Cabildo!R71+'La Calera'!R71+Concón!R71+Hijuelas!R71+'La Cruz'!R71+'La Ligua'!R71+Limache!R71+Nogales!R71+Olmue!R71+Papudo!R71+Petorca!R71+Puchuncavi!R71+Quillota!R71+Quilpue!R71+Quintero!R71+'Villa Alemana'!R71+'Viña del Mar'!R71+Zapallar!R71</f>
        <v>0</v>
      </c>
      <c r="S73" s="679">
        <f>+Cabildo!S71+'La Calera'!S71+Concón!S71+Hijuelas!S71+'La Cruz'!S71+'La Ligua'!S71+Limache!S71+Nogales!S71+Olmue!S71+Papudo!S71+Petorca!S71+Puchuncavi!S71+Quillota!S71+Quilpue!S71+Quintero!S71+'Villa Alemana'!S71+'Viña del Mar'!S71+Zapallar!S71</f>
        <v>11768139</v>
      </c>
      <c r="T73" s="227">
        <f>+Cabildo!T71+'La Calera'!T71+Concón!T71+Hijuelas!T71+'La Cruz'!T71+'La Ligua'!T71+Limache!T71+Nogales!T71+Olmue!T71+Papudo!T71+Petorca!T71+Puchuncavi!T71+Quillota!T71+Quilpue!T71+Quintero!T71+'Villa Alemana'!T71+'Viña del Mar'!T71+Zapallar!T71</f>
        <v>0</v>
      </c>
      <c r="U73" s="235">
        <f>+Cabildo!U71+'La Calera'!U71+Concón!U71+Hijuelas!U71+'La Cruz'!U71+'La Ligua'!U71+Limache!U71+Nogales!U71+Olmue!U71+Papudo!U71+Petorca!U71+Puchuncavi!U71+Quillota!U71+Quilpue!U71+Quintero!U71+'Villa Alemana'!U71+'Viña del Mar'!U71+Zapallar!U71</f>
        <v>0</v>
      </c>
      <c r="V73" s="206">
        <f>+Cabildo!V71+'La Calera'!V71+Concón!V71+Hijuelas!V71+'La Cruz'!V71+'La Ligua'!V71+Limache!V71+Nogales!V71+Olmue!V71+Papudo!V71+Petorca!V71+Puchuncavi!V71+Quillota!V71+Quilpue!V71+Quintero!V71+'Villa Alemana'!V71+'Viña del Mar'!V71+Zapallar!V71</f>
        <v>0</v>
      </c>
      <c r="W73" s="206">
        <f>+Cabildo!W71+'La Calera'!W71+Concón!W71+Hijuelas!W71+'La Cruz'!W71+'La Ligua'!W71+Limache!W71+Nogales!W71+Olmue!W71+Papudo!W71+Petorca!W71+Puchuncavi!W71+Quillota!W71+Quilpue!W71+Quintero!W71+'Villa Alemana'!W71+'Viña del Mar'!W71+Zapallar!W71</f>
        <v>0</v>
      </c>
      <c r="X73" s="206">
        <f>+Cabildo!X71+'La Calera'!X71+Concón!X71+Hijuelas!X71+'La Cruz'!X71+'La Ligua'!X71+Limache!X71+Nogales!X71+Olmue!X71+Papudo!X71+Petorca!X71+Puchuncavi!X71+Quillota!X71+Quilpue!X71+Quintero!X71+'Villa Alemana'!X71+'Viña del Mar'!X71+Zapallar!X71</f>
        <v>2408507</v>
      </c>
      <c r="Y73" s="206">
        <f>+Cabildo!Y71+'La Calera'!Y71+Concón!Y71+Hijuelas!Y71+'La Cruz'!Y71+'La Ligua'!Y71+Limache!Y71+Nogales!Y71+Olmue!Y71+Papudo!Y71+Petorca!Y71+Puchuncavi!Y71+Quillota!Y71+Quilpue!Y71+Quintero!Y71+'Villa Alemana'!Y71+'Viña del Mar'!Y71+Zapallar!Y71</f>
        <v>19637443</v>
      </c>
      <c r="Z73" s="206">
        <f>+Cabildo!Z71+'La Calera'!Z71+Concón!Z71+Hijuelas!Z71+'La Cruz'!Z71+'La Ligua'!Z71+Limache!Z71+Nogales!Z71+Olmue!Z71+Papudo!Z71+Petorca!Z71+Puchuncavi!Z71+Quillota!Z71+Quilpue!Z71+Quintero!Z71+'Villa Alemana'!Z71+'Viña del Mar'!Z71+Zapallar!Z71</f>
        <v>2314558</v>
      </c>
      <c r="AA73" s="206">
        <f>+Cabildo!AA71+'La Calera'!AA71+Concón!AA71+Hijuelas!AA71+'La Cruz'!AA71+'La Ligua'!AA71+Limache!AA71+Nogales!AA71+Olmue!AA71+Papudo!AA71+Petorca!AA71+Puchuncavi!AA71+Quillota!AA71+Quilpue!AA71+Quintero!AA71+'Villa Alemana'!AA71+'Viña del Mar'!AA71+Zapallar!AA71</f>
        <v>1012074</v>
      </c>
      <c r="AB73" s="206">
        <f>+Cabildo!AB71+'La Calera'!AB71+Concón!AB71+Hijuelas!AB71+'La Cruz'!AB71+'La Ligua'!AB71+Limache!AB71+Nogales!AB71+Olmue!AB71+Papudo!AB71+Petorca!AB71+Puchuncavi!AB71+Quillota!AB71+Quilpue!AB71+Quintero!AB71+'Villa Alemana'!AB71+'Viña del Mar'!AB71+Zapallar!AB71</f>
        <v>0</v>
      </c>
      <c r="AC73" s="206">
        <f>+Cabildo!AC71+'La Calera'!AC71+Concón!AC71+Hijuelas!AC71+'La Cruz'!AC71+'La Ligua'!AC71+Limache!AC71+Nogales!AC71+Olmue!AC71+Papudo!AC71+Petorca!AC71+Puchuncavi!AC71+Quillota!AC71+Quilpue!AC71+Quintero!AC71+'Villa Alemana'!AC71+'Viña del Mar'!AC71+Zapallar!AC71</f>
        <v>0</v>
      </c>
      <c r="AD73" s="206">
        <f>+Cabildo!AD71+'La Calera'!AD71+Concón!AD71+Hijuelas!AD71+'La Cruz'!AD71+'La Ligua'!AD71+Limache!AD71+Nogales!AD71+Olmue!AD71+Papudo!AD71+Petorca!AD71+Puchuncavi!AD71+Quillota!AD71+Quilpue!AD71+Quintero!AD71+'Villa Alemana'!AD71+'Viña del Mar'!AD71+Zapallar!AD71</f>
        <v>0</v>
      </c>
      <c r="AE73" s="206">
        <f>+Cabildo!AE71+'La Calera'!AE71+Concón!AE71+Hijuelas!AE71+'La Cruz'!AE71+'La Ligua'!AE71+Limache!AE71+Nogales!AE71+Olmue!AE71+Papudo!AE71+Petorca!AE71+Puchuncavi!AE71+Quillota!AE71+Quilpue!AE71+Quintero!AE71+'Villa Alemana'!AE71+'Viña del Mar'!AE71+Zapallar!AE71</f>
        <v>10873964</v>
      </c>
      <c r="AF73" s="221">
        <f>+Cabildo!AE71+'La Calera'!AF71+Concón!AF71+Hijuelas!AF71+'La Cruz'!AF71+'La Ligua'!AF71+Limache!AF71+Nogales!AF71+Olmue!AF71+Papudo!AF71+Petorca!AF71+Puchuncavi!AF71+Quillota!AF71+Quilpue!AF71+Quintero!AF71+'Villa Alemana'!AF71+'Viña del Mar'!AF71+Zapallar!AF71</f>
        <v>250788</v>
      </c>
      <c r="AG73" s="664">
        <f t="shared" si="9"/>
        <v>36497334</v>
      </c>
      <c r="AH73" s="431">
        <f t="shared" si="10"/>
        <v>643387</v>
      </c>
      <c r="AK73" s="235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27"/>
      <c r="AW73" s="228">
        <f t="shared" si="13"/>
        <v>0</v>
      </c>
      <c r="AX73" s="431">
        <f t="shared" si="11"/>
        <v>36497334</v>
      </c>
    </row>
    <row r="74" spans="1:50" ht="15">
      <c r="A74" s="18">
        <v>39</v>
      </c>
      <c r="B74" s="52" t="s">
        <v>133</v>
      </c>
      <c r="C74" s="148"/>
      <c r="D74" s="21">
        <f>+Cabildo!D72+'La Calera'!D72+Concón!D72+Hijuelas!D72+'La Cruz'!D72+'La Ligua'!D72+Limache!D72+Nogales!D72+Olmue!D72+Papudo!D72+Petorca!D72+Puchuncavi!D72+Quillota!D72+Quilpue!D72+Quintero!D72+'Villa Alemana'!D72+'Viña del Mar'!D72+Zapallar!D72</f>
        <v>28959120</v>
      </c>
      <c r="E74" s="174"/>
      <c r="F74" s="175"/>
      <c r="G74" s="176"/>
      <c r="H74" s="324">
        <f t="shared" si="8"/>
        <v>28959120</v>
      </c>
      <c r="I74" s="252">
        <f>+Cabildo!I72+'La Calera'!I72+Concón!I72+Hijuelas!I72+'La Cruz'!I72+'La Ligua'!I72+Limache!I72+Nogales!I72+Olmue!I72+Papudo!I72+Petorca!I72+Puchuncavi!I72+Quillota!I72+Quilpue!I72+Quintero!I72+'Villa Alemana'!I72+'Viña del Mar'!I72+Zapallar!I72</f>
        <v>0</v>
      </c>
      <c r="J74" s="206">
        <f>+Cabildo!J72+'La Calera'!J72+Concón!J72+Hijuelas!J72+'La Cruz'!J72+'La Ligua'!J72+Limache!J72+Nogales!J72+Olmue!J72+Papudo!J72+Petorca!J72+Puchuncavi!J72+Quillota!J72+Quilpue!J72+Quintero!J72+'Villa Alemana'!J72+'Viña del Mar'!J72+Zapallar!J72</f>
        <v>0</v>
      </c>
      <c r="K74" s="206">
        <f>+Cabildo!K72+'La Calera'!K72+Concón!K72+Hijuelas!K72+'La Cruz'!K72+'La Ligua'!K72+Limache!K72+Nogales!K72+Olmue!K72+Papudo!K72+Petorca!K72+Puchuncavi!K72+Quillota!K72+Quilpue!K72+Quintero!K72+'Villa Alemana'!K72+'Viña del Mar'!K72+Zapallar!K72</f>
        <v>0</v>
      </c>
      <c r="L74" s="206">
        <f>+Cabildo!L72+'La Calera'!L72+Concón!L72+Hijuelas!L72+'La Cruz'!L72+'La Ligua'!L72+Limache!L72+Nogales!L72+Olmue!L72+Papudo!L72+Petorca!L72+Puchuncavi!L72+Quillota!L72+Quilpue!L72+Quintero!L72+'Villa Alemana'!L72+'Viña del Mar'!L72+Zapallar!L72</f>
        <v>0</v>
      </c>
      <c r="M74" s="206">
        <f>+Cabildo!M72+'La Calera'!M72+Concón!M72+Hijuelas!M72+'La Cruz'!M72+'La Ligua'!M72+Limache!M72+Nogales!M72+Olmue!M72+Papudo!M72+Petorca!M72+Puchuncavi!M72+Quillota!M72+Quilpue!M72+Quintero!M72+'Villa Alemana'!M72+'Viña del Mar'!M72+Zapallar!M72</f>
        <v>0</v>
      </c>
      <c r="N74" s="206">
        <f>+Cabildo!N72+'La Calera'!N72+Concón!N72+Hijuelas!N72+'La Cruz'!N72+'La Ligua'!N72+Limache!N72+Nogales!N72+Olmue!N72+Papudo!N72+Petorca!N72+Puchuncavi!N72+Quillota!N72+Quilpue!N72+Quintero!N72+'Villa Alemana'!N72+'Viña del Mar'!N72+Zapallar!N72</f>
        <v>0</v>
      </c>
      <c r="O74" s="206">
        <f>+Cabildo!O72+'La Calera'!O72+Concón!O72+Hijuelas!O72+'La Cruz'!O72+'La Ligua'!O72+Limache!O72+Nogales!O72+Olmue!O72+Papudo!O72+Petorca!O72+Puchuncavi!O72+Quillota!O72+Quilpue!O72+Quintero!O72+'Villa Alemana'!O72+'Viña del Mar'!O72+Zapallar!O72</f>
        <v>0</v>
      </c>
      <c r="P74" s="206">
        <f>+Cabildo!P72+'La Calera'!P72+Concón!P72+Hijuelas!P72+'La Cruz'!P72+'La Ligua'!P72+Limache!P72+Nogales!P72+Olmue!P72+Papudo!P72+Petorca!P72+Puchuncavi!P72+Quillota!P72+Quilpue!P72+Quintero!P72+'Villa Alemana'!P72+'Viña del Mar'!P72+Zapallar!P72</f>
        <v>0</v>
      </c>
      <c r="Q74" s="206">
        <f>+Cabildo!Q72+'La Calera'!Q72+Concón!Q72+Hijuelas!Q72+'La Cruz'!Q72+'La Ligua'!Q72+Limache!Q72+Nogales!Q72+Olmue!Q72+Papudo!Q72+Petorca!Q72+Puchuncavi!Q72+Quillota!Q72+Quilpue!Q72+Quintero!Q72+'Villa Alemana'!Q72+'Viña del Mar'!Q72+Zapallar!Q72</f>
        <v>0</v>
      </c>
      <c r="R74" s="206">
        <f>+Cabildo!R72+'La Calera'!R72+Concón!R72+Hijuelas!R72+'La Cruz'!R72+'La Ligua'!R72+Limache!R72+Nogales!R72+Olmue!R72+Papudo!R72+Petorca!R72+Puchuncavi!R72+Quillota!R72+Quilpue!R72+Quintero!R72+'Villa Alemana'!R72+'Viña del Mar'!R72+Zapallar!R72</f>
        <v>28959120</v>
      </c>
      <c r="S74" s="206">
        <f>+Cabildo!S72+'La Calera'!S72+Concón!S72+Hijuelas!S72+'La Cruz'!S72+'La Ligua'!S72+Limache!S72+Nogales!S72+Olmue!S72+Papudo!S72+Petorca!S72+Puchuncavi!S72+Quillota!S72+Quilpue!S72+Quintero!S72+'Villa Alemana'!S72+'Viña del Mar'!S72+Zapallar!S72</f>
        <v>0</v>
      </c>
      <c r="T74" s="227">
        <f>+Cabildo!T72+'La Calera'!T72+Concón!T72+Hijuelas!T72+'La Cruz'!T72+'La Ligua'!T72+Limache!T72+Nogales!T72+Olmue!T72+Papudo!T72+Petorca!T72+Puchuncavi!T72+Quillota!T72+Quilpue!T72+Quintero!T72+'Villa Alemana'!T72+'Viña del Mar'!T72+Zapallar!T72</f>
        <v>0</v>
      </c>
      <c r="U74" s="235">
        <f>+Cabildo!U72+'La Calera'!U72+Concón!U72+Hijuelas!U72+'La Cruz'!U72+'La Ligua'!U72+Limache!U72+Nogales!U72+Olmue!U72+Papudo!U72+Petorca!U72+Puchuncavi!U72+Quillota!U72+Quilpue!U72+Quintero!U72+'Villa Alemana'!U72+'Viña del Mar'!U72+Zapallar!U72</f>
        <v>0</v>
      </c>
      <c r="V74" s="206">
        <f>+Cabildo!V72+'La Calera'!V72+Concón!V72+Hijuelas!V72+'La Cruz'!V72+'La Ligua'!V72+Limache!V72+Nogales!V72+Olmue!V72+Papudo!V72+Petorca!V72+Puchuncavi!V72+Quillota!V72+Quilpue!V72+Quintero!V72+'Villa Alemana'!V72+'Viña del Mar'!V72+Zapallar!V72</f>
        <v>0</v>
      </c>
      <c r="W74" s="206">
        <f>+Cabildo!W72+'La Calera'!W72+Concón!W72+Hijuelas!W72+'La Cruz'!W72+'La Ligua'!W72+Limache!W72+Nogales!W72+Olmue!W72+Papudo!W72+Petorca!W72+Puchuncavi!W72+Quillota!W72+Quilpue!W72+Quintero!W72+'Villa Alemana'!W72+'Viña del Mar'!W72+Zapallar!W72</f>
        <v>0</v>
      </c>
      <c r="X74" s="206">
        <f>+Cabildo!X72+'La Calera'!X72+Concón!X72+Hijuelas!X72+'La Cruz'!X72+'La Ligua'!X72+Limache!X72+Nogales!X72+Olmue!X72+Papudo!X72+Petorca!X72+Puchuncavi!X72+Quillota!X72+Quilpue!X72+Quintero!X72+'Villa Alemana'!X72+'Viña del Mar'!X72+Zapallar!X72</f>
        <v>0</v>
      </c>
      <c r="Y74" s="206">
        <f>+Cabildo!Y72+'La Calera'!Y72+Concón!Y72+Hijuelas!Y72+'La Cruz'!Y72+'La Ligua'!Y72+Limache!Y72+Nogales!Y72+Olmue!Y72+Papudo!Y72+Petorca!Y72+Puchuncavi!Y72+Quillota!Y72+Quilpue!Y72+Quintero!Y72+'Villa Alemana'!Y72+'Viña del Mar'!Y72+Zapallar!Y72</f>
        <v>0</v>
      </c>
      <c r="Z74" s="206">
        <f>+Cabildo!Z72+'La Calera'!Z72+Concón!Z72+Hijuelas!Z72+'La Cruz'!Z72+'La Ligua'!Z72+Limache!Z72+Nogales!Z72+Olmue!Z72+Papudo!Z72+Petorca!Z72+Puchuncavi!Z72+Quillota!Z72+Quilpue!Z72+Quintero!Z72+'Villa Alemana'!Z72+'Viña del Mar'!Z72+Zapallar!Z72</f>
        <v>0</v>
      </c>
      <c r="AA74" s="206">
        <f>+Cabildo!AA72+'La Calera'!AA72+Concón!AA72+Hijuelas!AA72+'La Cruz'!AA72+'La Ligua'!AA72+Limache!AA72+Nogales!AA72+Olmue!AA72+Papudo!AA72+Petorca!AA72+Puchuncavi!AA72+Quillota!AA72+Quilpue!AA72+Quintero!AA72+'Villa Alemana'!AA72+'Viña del Mar'!AA72+Zapallar!AA72</f>
        <v>0</v>
      </c>
      <c r="AB74" s="206">
        <f>+Cabildo!AB72+'La Calera'!AB72+Concón!AB72+Hijuelas!AB72+'La Cruz'!AB72+'La Ligua'!AB72+Limache!AB72+Nogales!AB72+Olmue!AB72+Papudo!AB72+Petorca!AB72+Puchuncavi!AB72+Quillota!AB72+Quilpue!AB72+Quintero!AB72+'Villa Alemana'!AB72+'Viña del Mar'!AB72+Zapallar!AB72</f>
        <v>0</v>
      </c>
      <c r="AC74" s="206">
        <f>+Cabildo!AC72+'La Calera'!AC72+Concón!AC72+Hijuelas!AC72+'La Cruz'!AC72+'La Ligua'!AC72+Limache!AC72+Nogales!AC72+Olmue!AC72+Papudo!AC72+Petorca!AC72+Puchuncavi!AC72+Quillota!AC72+Quilpue!AC72+Quintero!AC72+'Villa Alemana'!AC72+'Viña del Mar'!AC72+Zapallar!AC72</f>
        <v>0</v>
      </c>
      <c r="AD74" s="206">
        <f>+Cabildo!AD72+'La Calera'!AD72+Concón!AD72+Hijuelas!AD72+'La Cruz'!AD72+'La Ligua'!AD72+Limache!AD72+Nogales!AD72+Olmue!AD72+Papudo!AD72+Petorca!AD72+Puchuncavi!AD72+Quillota!AD72+Quilpue!AD72+Quintero!AD72+'Villa Alemana'!AD72+'Viña del Mar'!AD72+Zapallar!AD72</f>
        <v>0</v>
      </c>
      <c r="AE74" s="206">
        <f>+Cabildo!AE72+'La Calera'!AE72+Concón!AE72+Hijuelas!AE72+'La Cruz'!AE72+'La Ligua'!AE72+Limache!AE72+Nogales!AE72+Olmue!AE72+Papudo!AE72+Petorca!AE72+Puchuncavi!AE72+Quillota!AE72+Quilpue!AE72+Quintero!AE72+'Villa Alemana'!AE72+'Viña del Mar'!AE72+Zapallar!AE72</f>
        <v>0</v>
      </c>
      <c r="AF74" s="221">
        <f>+Cabildo!AF72+'La Calera'!AF72+Concón!AF72+Hijuelas!AF72+'La Cruz'!AF72+'La Ligua'!AF72+Limache!AF72+Nogales!AF72+Olmue!AF72+Papudo!AF72+Petorca!AF72+Puchuncavi!AF72+Quillota!AF72+Quilpue!AF72+Quintero!AF72+'Villa Alemana'!AF72+'Viña del Mar'!AF72+Zapallar!AF72</f>
        <v>9556509.6000000015</v>
      </c>
      <c r="AG74" s="664">
        <f t="shared" si="9"/>
        <v>9556509.6000000015</v>
      </c>
      <c r="AH74" s="431">
        <f t="shared" si="10"/>
        <v>19402610.399999999</v>
      </c>
      <c r="AK74" s="235"/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27"/>
      <c r="AW74" s="228">
        <f t="shared" si="13"/>
        <v>0</v>
      </c>
      <c r="AX74" s="431">
        <f t="shared" si="11"/>
        <v>9556509.6000000015</v>
      </c>
    </row>
    <row r="75" spans="1:50" ht="15">
      <c r="A75" s="18">
        <v>40</v>
      </c>
      <c r="B75" s="52" t="s">
        <v>134</v>
      </c>
      <c r="C75" s="148"/>
      <c r="D75" s="21">
        <f>+Cabildo!D73+'La Calera'!D73+Concón!D73+Hijuelas!D73+'La Cruz'!D73+'La Ligua'!D73+Limache!D73+Nogales!D73+Olmue!D73+Papudo!D73+Petorca!D73+Puchuncavi!D73+Quillota!D73+Quilpue!D73+Quintero!D73+'Villa Alemana'!D73+'Viña del Mar'!D73+Zapallar!D73</f>
        <v>66702867</v>
      </c>
      <c r="E75" s="174"/>
      <c r="F75" s="175"/>
      <c r="G75" s="176"/>
      <c r="H75" s="324">
        <f t="shared" si="8"/>
        <v>66702867</v>
      </c>
      <c r="I75" s="252">
        <f>+Cabildo!I73+'La Calera'!I73+Concón!I73+Hijuelas!I73+'La Cruz'!I73+'La Ligua'!I73+Limache!I73+Nogales!I73+Olmue!I73+Papudo!I73+Petorca!I73+Puchuncavi!I73+Quillota!I73+Quilpue!I73+Quintero!I73+'Villa Alemana'!I73+'Viña del Mar'!I73+Zapallar!I73</f>
        <v>0</v>
      </c>
      <c r="J75" s="206">
        <f>+Cabildo!J73+'La Calera'!J73+Concón!J73+Hijuelas!J73+'La Cruz'!J73+'La Ligua'!J73+Limache!J73+Nogales!J73+Olmue!J73+Papudo!J73+Petorca!J73+Puchuncavi!J73+Quillota!J73+Quilpue!J73+Quintero!J73+'Villa Alemana'!J73+'Viña del Mar'!J73+Zapallar!J73</f>
        <v>0</v>
      </c>
      <c r="K75" s="206">
        <f>+Cabildo!K73+'La Calera'!K73+Concón!K73+Hijuelas!K73+'La Cruz'!K73+'La Ligua'!K73+Limache!K73+Nogales!K73+Olmue!K73+Papudo!K73+Petorca!K73+Puchuncavi!K73+Quillota!K73+Quilpue!K73+Quintero!K73+'Villa Alemana'!K73+'Viña del Mar'!K73+Zapallar!K73</f>
        <v>0</v>
      </c>
      <c r="L75" s="206">
        <f>+Cabildo!L73+'La Calera'!L73+Concón!L73+Hijuelas!L73+'La Cruz'!L73+'La Ligua'!L73+Limache!L73+Nogales!L73+Olmue!L73+Papudo!L73+Petorca!L73+Puchuncavi!L73+Quillota!L73+Quilpue!L73+Quintero!L73+'Villa Alemana'!L73+'Viña del Mar'!L73+Zapallar!L73</f>
        <v>0</v>
      </c>
      <c r="M75" s="206">
        <f>+Cabildo!M73+'La Calera'!M73+Concón!M73+Hijuelas!M73+'La Cruz'!M73+'La Ligua'!M73+Limache!M73+Nogales!M73+Olmue!M73+Papudo!M73+Petorca!M73+Puchuncavi!M73+Quillota!M73+Quilpue!M73+Quintero!M73+'Villa Alemana'!M73+'Viña del Mar'!M73+Zapallar!M73</f>
        <v>0</v>
      </c>
      <c r="N75" s="206">
        <f>+Cabildo!N73+'La Calera'!N73+Concón!N73+Hijuelas!N73+'La Cruz'!N73+'La Ligua'!N73+Limache!N73+Nogales!N73+Olmue!N73+Papudo!N73+Petorca!N73+Puchuncavi!N73+Quillota!N73+Quilpue!N73+Quintero!N73+'Villa Alemana'!N73+'Viña del Mar'!N73+Zapallar!N73</f>
        <v>0</v>
      </c>
      <c r="O75" s="206">
        <f>+Cabildo!O73+'La Calera'!O73+Concón!O73+Hijuelas!O73+'La Cruz'!O73+'La Ligua'!O73+Limache!O73+Nogales!O73+Olmue!O73+Papudo!O73+Petorca!O73+Puchuncavi!O73+Quillota!O73+Quilpue!O73+Quintero!O73+'Villa Alemana'!O73+'Viña del Mar'!O73+Zapallar!O73</f>
        <v>0</v>
      </c>
      <c r="P75" s="206">
        <f>+Cabildo!P73+'La Calera'!P73+Concón!P73+Hijuelas!P73+'La Cruz'!P73+'La Ligua'!P73+Limache!P73+Nogales!P73+Olmue!P73+Papudo!P73+Petorca!P73+Puchuncavi!P73+Quillota!P73+Quilpue!P73+Quintero!P73+'Villa Alemana'!P73+'Viña del Mar'!P73+Zapallar!P73</f>
        <v>0</v>
      </c>
      <c r="Q75" s="206">
        <f>+Cabildo!Q73+'La Calera'!Q73+Concón!Q73+Hijuelas!Q73+'La Cruz'!Q73+'La Ligua'!Q73+Limache!Q73+Nogales!Q73+Olmue!Q73+Papudo!Q73+Petorca!Q73+Puchuncavi!Q73+Quillota!Q73+Quilpue!Q73+Quintero!Q73+'Villa Alemana'!Q73+'Viña del Mar'!Q73+Zapallar!Q73</f>
        <v>0</v>
      </c>
      <c r="R75" s="206">
        <f>+Cabildo!R73+'La Calera'!R73+Concón!R73+Hijuelas!R73+'La Cruz'!R73+'La Ligua'!R73+Limache!R73+Nogales!R73+Olmue!R73+Papudo!R73+Petorca!R73+Puchuncavi!R73+Quillota!R73+Quilpue!R73+Quintero!R73+'Villa Alemana'!R73+'Viña del Mar'!R73+Zapallar!R73</f>
        <v>66702867</v>
      </c>
      <c r="S75" s="206">
        <f>+Cabildo!S73+'La Calera'!S73+Concón!S73+Hijuelas!S73+'La Cruz'!S73+'La Ligua'!S73+Limache!S73+Nogales!S73+Olmue!S73+Papudo!S73+Petorca!S73+Puchuncavi!S73+Quillota!S73+Quilpue!S73+Quintero!S73+'Villa Alemana'!S73+'Viña del Mar'!S73+Zapallar!S73</f>
        <v>0</v>
      </c>
      <c r="T75" s="227">
        <f>+Cabildo!T73+'La Calera'!T73+Concón!T73+Hijuelas!T73+'La Cruz'!T73+'La Ligua'!T73+Limache!T73+Nogales!T73+Olmue!T73+Papudo!T73+Petorca!T73+Puchuncavi!T73+Quillota!T73+Quilpue!T73+Quintero!T73+'Villa Alemana'!T73+'Viña del Mar'!T73+Zapallar!T73</f>
        <v>0</v>
      </c>
      <c r="U75" s="235">
        <f>+Cabildo!U73+'La Calera'!U73+Concón!U73+Hijuelas!U73+'La Cruz'!U73+'La Ligua'!U73+Limache!U73+Nogales!U73+Olmue!U73+Papudo!U73+Petorca!U73+Puchuncavi!U73+Quillota!U73+Quilpue!U73+Quintero!U73+'Villa Alemana'!U73+'Viña del Mar'!U73+Zapallar!U73</f>
        <v>0</v>
      </c>
      <c r="V75" s="206">
        <f>+Cabildo!V73+'La Calera'!V73+Concón!V73+Hijuelas!V73+'La Cruz'!V73+'La Ligua'!V73+Limache!V73+Nogales!V73+Olmue!V73+Papudo!V73+Petorca!V73+Puchuncavi!V73+Quillota!V73+Quilpue!V73+Quintero!V73+'Villa Alemana'!V73+'Viña del Mar'!V73+Zapallar!V73</f>
        <v>0</v>
      </c>
      <c r="W75" s="206">
        <f>+Cabildo!W73+'La Calera'!W73+Concón!W73+Hijuelas!W73+'La Cruz'!W73+'La Ligua'!W73+Limache!W73+Nogales!W73+Olmue!W73+Papudo!W73+Petorca!W73+Puchuncavi!W73+Quillota!W73+Quilpue!W73+Quintero!W73+'Villa Alemana'!W73+'Viña del Mar'!W73+Zapallar!W73</f>
        <v>0</v>
      </c>
      <c r="X75" s="206">
        <f>+Cabildo!X73+'La Calera'!X73+Concón!X73+Hijuelas!X73+'La Cruz'!X73+'La Ligua'!X73+Limache!X73+Nogales!X73+Olmue!X73+Papudo!X73+Petorca!X73+Puchuncavi!X73+Quillota!X73+Quilpue!X73+Quintero!X73+'Villa Alemana'!X73+'Viña del Mar'!X73+Zapallar!X73</f>
        <v>0</v>
      </c>
      <c r="Y75" s="206">
        <f>+Cabildo!Y73+'La Calera'!Y73+Concón!Y73+Hijuelas!Y73+'La Cruz'!Y73+'La Ligua'!Y73+Limache!Y73+Nogales!Y73+Olmue!Y73+Papudo!Y73+Petorca!Y73+Puchuncavi!Y73+Quillota!Y73+Quilpue!Y73+Quintero!Y73+'Villa Alemana'!Y73+'Viña del Mar'!Y73+Zapallar!Y73</f>
        <v>0</v>
      </c>
      <c r="Z75" s="206">
        <f>+Cabildo!Z73+'La Calera'!Z73+Concón!Z73+Hijuelas!Z73+'La Cruz'!Z73+'La Ligua'!Z73+Limache!Z73+Nogales!Z73+Olmue!Z73+Papudo!Z73+Petorca!Z73+Puchuncavi!Z73+Quillota!Z73+Quilpue!Z73+Quintero!Z73+'Villa Alemana'!Z73+'Viña del Mar'!Z73+Zapallar!Z73</f>
        <v>0</v>
      </c>
      <c r="AA75" s="206">
        <f>+Cabildo!AA73+'La Calera'!AA73+Concón!AA73+Hijuelas!AA73+'La Cruz'!AA73+'La Ligua'!AA73+Limache!AA73+Nogales!AA73+Olmue!AA73+Papudo!AA73+Petorca!AA73+Puchuncavi!AA73+Quillota!AA73+Quilpue!AA73+Quintero!AA73+'Villa Alemana'!AA73+'Viña del Mar'!AA73+Zapallar!AA73</f>
        <v>0</v>
      </c>
      <c r="AB75" s="206">
        <f>+Cabildo!AB73+'La Calera'!AB73+Concón!AB73+Hijuelas!AB73+'La Cruz'!AB73+'La Ligua'!AB73+Limache!AB73+Nogales!AB73+Olmue!AB73+Papudo!AB73+Petorca!AB73+Puchuncavi!AB73+Quillota!AB73+Quilpue!AB73+Quintero!AB73+'Villa Alemana'!AB73+'Viña del Mar'!AB73+Zapallar!AB73</f>
        <v>0</v>
      </c>
      <c r="AC75" s="206">
        <f>+Cabildo!AC73+'La Calera'!AC73+Concón!AC73+Hijuelas!AC73+'La Cruz'!AC73+'La Ligua'!AC73+Limache!AC73+Nogales!AC73+Olmue!AC73+Papudo!AC73+Petorca!AC73+Puchuncavi!AC73+Quillota!AC73+Quilpue!AC73+Quintero!AC73+'Villa Alemana'!AC73+'Viña del Mar'!AC73+Zapallar!AC73</f>
        <v>0</v>
      </c>
      <c r="AD75" s="206">
        <f>+Cabildo!AD73+'La Calera'!AD73+Concón!AD73+Hijuelas!AD73+'La Cruz'!AD73+'La Ligua'!AD73+Limache!AD73+Nogales!AD73+Olmue!AD73+Papudo!AD73+Petorca!AD73+Puchuncavi!AD73+Quillota!AD73+Quilpue!AD73+Quintero!AD73+'Villa Alemana'!AD73+'Viña del Mar'!AD73+Zapallar!AD73</f>
        <v>0</v>
      </c>
      <c r="AE75" s="206">
        <f>+Cabildo!AE73+'La Calera'!AE73+Concón!AE73+Hijuelas!AE73+'La Cruz'!AE73+'La Ligua'!AE73+Limache!AE73+Nogales!AE73+Olmue!AE73+Papudo!AE73+Petorca!AE73+Puchuncavi!AE73+Quillota!AE73+Quilpue!AE73+Quintero!AE73+'Villa Alemana'!AE73+'Viña del Mar'!AE73+Zapallar!AE73</f>
        <v>0</v>
      </c>
      <c r="AF75" s="221">
        <f>+Cabildo!AF73+'La Calera'!AF73+Concón!AF73+Hijuelas!AF73+'La Cruz'!AF73+'La Ligua'!AF73+Limache!AF73+Nogales!AF73+Olmue!AF73+Papudo!AF73+Petorca!AF73+Puchuncavi!AF73+Quillota!AF73+Quilpue!AF73+Quintero!AF73+'Villa Alemana'!AF73+'Viña del Mar'!AF73+Zapallar!AF73</f>
        <v>22011946.109999999</v>
      </c>
      <c r="AG75" s="664">
        <f t="shared" si="9"/>
        <v>22011946.109999999</v>
      </c>
      <c r="AH75" s="431">
        <f t="shared" si="10"/>
        <v>44690920.890000001</v>
      </c>
      <c r="AK75" s="235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27"/>
      <c r="AW75" s="228">
        <f t="shared" si="13"/>
        <v>0</v>
      </c>
      <c r="AX75" s="431">
        <f t="shared" si="11"/>
        <v>22011946.109999999</v>
      </c>
    </row>
    <row r="76" spans="1:50" ht="15">
      <c r="A76" s="18">
        <v>41</v>
      </c>
      <c r="B76" s="52" t="s">
        <v>135</v>
      </c>
      <c r="C76" s="148"/>
      <c r="D76" s="21">
        <f>+Cabildo!D74+'La Calera'!D74+Concón!D74+Hijuelas!D74+'La Cruz'!D74+'La Ligua'!D74+Limache!D74+Nogales!D74+Olmue!D74+Papudo!D74+Petorca!D74+Puchuncavi!D74+Quillota!D74+Quilpue!D74+Quintero!D74+'Villa Alemana'!D74+'Viña del Mar'!D74+Zapallar!D74</f>
        <v>36461952</v>
      </c>
      <c r="E76" s="174"/>
      <c r="F76" s="175"/>
      <c r="G76" s="176"/>
      <c r="H76" s="324">
        <f t="shared" si="8"/>
        <v>32410624</v>
      </c>
      <c r="I76" s="252">
        <f>+Cabildo!I74+'La Calera'!I74+Concón!I74+Hijuelas!I74+'La Cruz'!I74+'La Ligua'!I74+Limache!I74+Nogales!I74+Olmue!I74+Papudo!I74+Petorca!I74+Puchuncavi!I74+Quillota!I74+Quilpue!I74+Quintero!I74+'Villa Alemana'!I74+'Viña del Mar'!I74+Zapallar!I74</f>
        <v>0</v>
      </c>
      <c r="J76" s="206">
        <f>+Cabildo!J74+'La Calera'!J74+Concón!J74+Hijuelas!J74+'La Cruz'!J74+'La Ligua'!J74+Limache!J74+Nogales!J74+Olmue!J74+Papudo!J74+Petorca!J74+Puchuncavi!J74+Quillota!J74+Quilpue!J74+Quintero!J74+'Villa Alemana'!J74+'Viña del Mar'!J74+Zapallar!J74</f>
        <v>0</v>
      </c>
      <c r="K76" s="206">
        <f>+Cabildo!K74+'La Calera'!K74+Concón!K74+Hijuelas!K74+'La Cruz'!K74+'La Ligua'!K74+Limache!K74+Nogales!K74+Olmue!K74+Papudo!K74+Petorca!K74+Puchuncavi!K74+Quillota!K74+Quilpue!K74+Quintero!K74+'Villa Alemana'!K74+'Viña del Mar'!K74+Zapallar!K74</f>
        <v>0</v>
      </c>
      <c r="L76" s="206">
        <f>+Cabildo!L74+'La Calera'!L74+Concón!L74+Hijuelas!L74+'La Cruz'!L74+'La Ligua'!L74+Limache!L74+Nogales!L74+Olmue!L74+Papudo!L74+Petorca!L74+Puchuncavi!L74+Quillota!L74+Quilpue!L74+Quintero!L74+'Villa Alemana'!L74+'Viña del Mar'!L74+Zapallar!L74</f>
        <v>0</v>
      </c>
      <c r="M76" s="206">
        <f>+Cabildo!M74+'La Calera'!M74+Concón!M74+Hijuelas!M74+'La Cruz'!M74+'La Ligua'!M74+Limache!M74+Nogales!M74+Olmue!M74+Papudo!M74+Petorca!M74+Puchuncavi!M74+Quillota!M74+Quilpue!M74+Quintero!M74+'Villa Alemana'!M74+'Viña del Mar'!M74+Zapallar!M74</f>
        <v>0</v>
      </c>
      <c r="N76" s="206">
        <f>+Cabildo!N74+'La Calera'!N74+Concón!N74+Hijuelas!N74+'La Cruz'!N74+'La Ligua'!N74+Limache!N74+Nogales!N74+Olmue!N74+Papudo!N74+Petorca!N74+Puchuncavi!N74+Quillota!N74+Quilpue!N74+Quintero!N74+'Villa Alemana'!N74+'Viña del Mar'!N74+Zapallar!N74</f>
        <v>0</v>
      </c>
      <c r="O76" s="206">
        <f>+Cabildo!O74+'La Calera'!O74+Concón!O74+Hijuelas!O74+'La Cruz'!O74+'La Ligua'!O74+Limache!O74+Nogales!O74+Olmue!O74+Papudo!O74+Petorca!O74+Puchuncavi!O74+Quillota!O74+Quilpue!O74+Quintero!O74+'Villa Alemana'!O74+'Viña del Mar'!O74+Zapallar!O74</f>
        <v>0</v>
      </c>
      <c r="P76" s="206">
        <f>+Cabildo!P74+'La Calera'!P74+Concón!P74+Hijuelas!P74+'La Cruz'!P74+'La Ligua'!P74+Limache!P74+Nogales!P74+Olmue!P74+Papudo!P74+Petorca!P74+Puchuncavi!P74+Quillota!P74+Quilpue!P74+Quintero!P74+'Villa Alemana'!P74+'Viña del Mar'!P74+Zapallar!P74</f>
        <v>0</v>
      </c>
      <c r="Q76" s="206">
        <f>+Cabildo!Q74+'La Calera'!Q74+Concón!Q74+Hijuelas!Q74+'La Cruz'!Q74+'La Ligua'!Q74+Limache!Q74+Nogales!Q74+Olmue!Q74+Papudo!Q74+Petorca!Q74+Puchuncavi!Q74+Quillota!Q74+Quilpue!Q74+Quintero!Q74+'Villa Alemana'!Q74+'Viña del Mar'!Q74+Zapallar!Q74</f>
        <v>0</v>
      </c>
      <c r="R76" s="206">
        <f>+Cabildo!R74+'La Calera'!R74+Concón!R74+Hijuelas!R74+'La Cruz'!R74+'La Ligua'!R74+Limache!R74+Nogales!R74+Olmue!R74+Papudo!R74+Petorca!R74+Puchuncavi!R74+Quillota!R74+Quilpue!R74+Quintero!R74+'Villa Alemana'!R74+'Viña del Mar'!R74+Zapallar!R74</f>
        <v>32410624</v>
      </c>
      <c r="S76" s="206">
        <f>+Cabildo!S74+'La Calera'!S74+Concón!S74+Hijuelas!S74+'La Cruz'!S74+'La Ligua'!S74+Limache!S74+Nogales!S74+Olmue!S74+Papudo!S74+Petorca!S74+Puchuncavi!S74+Quillota!S74+Quilpue!S74+Quintero!S74+'Villa Alemana'!S74+'Viña del Mar'!S74+Zapallar!S74</f>
        <v>0</v>
      </c>
      <c r="T76" s="227">
        <f>+Cabildo!T74+'La Calera'!T74+Concón!T74+Hijuelas!T74+'La Cruz'!T74+'La Ligua'!T74+Limache!T74+Nogales!T74+Olmue!T74+Papudo!T74+Petorca!T74+Puchuncavi!T74+Quillota!T74+Quilpue!T74+Quintero!T74+'Villa Alemana'!T74+'Viña del Mar'!T74+Zapallar!T74</f>
        <v>0</v>
      </c>
      <c r="U76" s="235">
        <f>+Cabildo!U74+'La Calera'!U74+Concón!U74+Hijuelas!U74+'La Cruz'!U74+'La Ligua'!U74+Limache!U74+Nogales!U74+Olmue!U74+Papudo!U74+Petorca!U74+Puchuncavi!U74+Quillota!U74+Quilpue!U74+Quintero!U74+'Villa Alemana'!U74+'Viña del Mar'!U74+Zapallar!U74</f>
        <v>0</v>
      </c>
      <c r="V76" s="206">
        <f>+Cabildo!V74+'La Calera'!V74+Concón!V74+Hijuelas!V74+'La Cruz'!V74+'La Ligua'!V74+Limache!V74+Nogales!V74+Olmue!V74+Papudo!V74+Petorca!V74+Puchuncavi!V74+Quillota!V74+Quilpue!V74+Quintero!V74+'Villa Alemana'!V74+'Viña del Mar'!V74+Zapallar!V74</f>
        <v>0</v>
      </c>
      <c r="W76" s="206">
        <f>+Cabildo!W74+'La Calera'!W74+Concón!W74+Hijuelas!W74+'La Cruz'!W74+'La Ligua'!W74+Limache!W74+Nogales!W74+Olmue!W74+Papudo!W74+Petorca!W74+Puchuncavi!W74+Quillota!W74+Quilpue!W74+Quintero!W74+'Villa Alemana'!W74+'Viña del Mar'!W74+Zapallar!W74</f>
        <v>0</v>
      </c>
      <c r="X76" s="206">
        <f>+Cabildo!X74+'La Calera'!X74+Concón!X74+Hijuelas!X74+'La Cruz'!X74+'La Ligua'!X74+Limache!X74+Nogales!X74+Olmue!X74+Papudo!X74+Petorca!X74+Puchuncavi!X74+Quillota!X74+Quilpue!X74+Quintero!X74+'Villa Alemana'!X74+'Viña del Mar'!X74+Zapallar!X74</f>
        <v>0</v>
      </c>
      <c r="Y76" s="206">
        <f>+Cabildo!Y74+'La Calera'!Y74+Concón!Y74+Hijuelas!Y74+'La Cruz'!Y74+'La Ligua'!Y74+Limache!Y74+Nogales!Y74+Olmue!Y74+Papudo!Y74+Petorca!Y74+Puchuncavi!Y74+Quillota!Y74+Quilpue!Y74+Quintero!Y74+'Villa Alemana'!Y74+'Viña del Mar'!Y74+Zapallar!Y74</f>
        <v>0</v>
      </c>
      <c r="Z76" s="206">
        <f>+Cabildo!Z74+'La Calera'!Z74+Concón!Z74+Hijuelas!Z74+'La Cruz'!Z74+'La Ligua'!Z74+Limache!Z74+Nogales!Z74+Olmue!Z74+Papudo!Z74+Petorca!Z74+Puchuncavi!Z74+Quillota!Z74+Quilpue!Z74+Quintero!Z74+'Villa Alemana'!Z74+'Viña del Mar'!Z74+Zapallar!Z74</f>
        <v>0</v>
      </c>
      <c r="AA76" s="206">
        <f>+Cabildo!AA74+'La Calera'!AA74+Concón!AA74+Hijuelas!AA74+'La Cruz'!AA74+'La Ligua'!AA74+Limache!AA74+Nogales!AA74+Olmue!AA74+Papudo!AA74+Petorca!AA74+Puchuncavi!AA74+Quillota!AA74+Quilpue!AA74+Quintero!AA74+'Villa Alemana'!AA74+'Viña del Mar'!AA74+Zapallar!AA74</f>
        <v>0</v>
      </c>
      <c r="AB76" s="206">
        <f>+Cabildo!AB74+'La Calera'!AB74+Concón!AB74+Hijuelas!AB74+'La Cruz'!AB74+'La Ligua'!AB74+Limache!AB74+Nogales!AB74+Olmue!AB74+Papudo!AB74+Petorca!AB74+Puchuncavi!AB74+Quillota!AB74+Quilpue!AB74+Quintero!AB74+'Villa Alemana'!AB74+'Viña del Mar'!AB74+Zapallar!AB74</f>
        <v>0</v>
      </c>
      <c r="AC76" s="206">
        <f>+Cabildo!AC74+'La Calera'!AC74+Concón!AC74+Hijuelas!AC74+'La Cruz'!AC74+'La Ligua'!AC74+Limache!AC74+Nogales!AC74+Olmue!AC74+Papudo!AC74+Petorca!AC74+Puchuncavi!AC74+Quillota!AC74+Quilpue!AC74+Quintero!AC74+'Villa Alemana'!AC74+'Viña del Mar'!AC74+Zapallar!AC74</f>
        <v>0</v>
      </c>
      <c r="AD76" s="206">
        <f>+Cabildo!AD74+'La Calera'!AD74+Concón!AD74+Hijuelas!AD74+'La Cruz'!AD74+'La Ligua'!AD74+Limache!AD74+Nogales!AD74+Olmue!AD74+Papudo!AD74+Petorca!AD74+Puchuncavi!AD74+Quillota!AD74+Quilpue!AD74+Quintero!AD74+'Villa Alemana'!AD74+'Viña del Mar'!AD74+Zapallar!AD74</f>
        <v>0</v>
      </c>
      <c r="AE76" s="206">
        <f>+Cabildo!AE74+'La Calera'!AE74+Concón!AE74+Hijuelas!AE74+'La Cruz'!AE74+'La Ligua'!AE74+Limache!AE74+Nogales!AE74+Olmue!AE74+Papudo!AE74+Petorca!AE74+Puchuncavi!AE74+Quillota!AE74+Quilpue!AE74+Quintero!AE74+'Villa Alemana'!AE74+'Viña del Mar'!AE74+Zapallar!AE74</f>
        <v>0</v>
      </c>
      <c r="AF76" s="221">
        <f>+Cabildo!AF74+'La Calera'!AF74+Concón!AF74+Hijuelas!AF74+'La Cruz'!AF74+'La Ligua'!AF74+Limache!AF74+Nogales!AF74+Olmue!AF74+Papudo!AF74+Petorca!AF74+Puchuncavi!AF74+Quillota!AF74+Quilpue!AF74+Quintero!AF74+'Villa Alemana'!AF74+'Viña del Mar'!AF74+Zapallar!AF74</f>
        <v>10695505.92</v>
      </c>
      <c r="AG76" s="664">
        <f t="shared" si="9"/>
        <v>10695505.92</v>
      </c>
      <c r="AH76" s="431">
        <f t="shared" si="10"/>
        <v>21715118.079999998</v>
      </c>
      <c r="AK76" s="235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27"/>
      <c r="AW76" s="228">
        <f t="shared" si="13"/>
        <v>0</v>
      </c>
      <c r="AX76" s="431">
        <f t="shared" si="11"/>
        <v>10695505.92</v>
      </c>
    </row>
    <row r="77" spans="1:50" ht="15">
      <c r="A77" s="18">
        <v>42</v>
      </c>
      <c r="B77" s="52" t="s">
        <v>170</v>
      </c>
      <c r="C77" s="148"/>
      <c r="D77" s="21">
        <f>+Cabildo!D75+'La Calera'!D75+Concón!D75+Hijuelas!D75+'La Cruz'!D75+'La Ligua'!D75+Limache!D75+Nogales!D75+Olmue!D75+Papudo!D75+Petorca!D75+Puchuncavi!D75+Quillota!D75+Quilpue!D75+Quintero!D75+'Villa Alemana'!D75+'Viña del Mar'!D75+Zapallar!D75</f>
        <v>46530330</v>
      </c>
      <c r="E77" s="720" t="s">
        <v>172</v>
      </c>
      <c r="F77" s="721"/>
      <c r="G77" s="721"/>
      <c r="H77" s="324">
        <f t="shared" si="8"/>
        <v>41341645.299999997</v>
      </c>
      <c r="I77" s="252">
        <f>+Cabildo!I75+'La Calera'!I75+Concón!I75+Hijuelas!I75+'La Cruz'!I75+'La Ligua'!I75+Limache!I75+Nogales!I75+Olmue!I75+Papudo!I75+Petorca!I75+Puchuncavi!I75+Quillota!I75+Quilpue!I75+Quintero!I75+'Villa Alemana'!I75+'Viña del Mar'!I75+Zapallar!I75</f>
        <v>0</v>
      </c>
      <c r="J77" s="206">
        <f>+Cabildo!J75+'La Calera'!J75+Concón!J75+Hijuelas!J75+'La Cruz'!J75+'La Ligua'!J75+Limache!J75+Nogales!J75+Olmue!J75+Papudo!J75+Petorca!J75+Puchuncavi!J75+Quillota!J75+Quilpue!J75+Quintero!J75+'Villa Alemana'!J75+'Viña del Mar'!J75+Zapallar!J75</f>
        <v>0</v>
      </c>
      <c r="K77" s="206">
        <f>+Cabildo!K75+'La Calera'!K75+Concón!K75+Hijuelas!K75+'La Cruz'!K75+'La Ligua'!K75+Limache!K75+Nogales!K75+Olmue!K75+Papudo!K75+Petorca!K75+Puchuncavi!K75+Quillota!K75+Quilpue!K75+Quintero!K75+'Villa Alemana'!K75+'Viña del Mar'!K75+Zapallar!K75</f>
        <v>0</v>
      </c>
      <c r="L77" s="206">
        <f>+Cabildo!L75+'La Calera'!L75+Concón!L75+Hijuelas!L75+'La Cruz'!L75+'La Ligua'!L75+Limache!L75+Nogales!L75+Olmue!L75+Papudo!L75+Petorca!L75+Puchuncavi!L75+Quillota!L75+Quilpue!L75+Quintero!L75+'Villa Alemana'!L75+'Viña del Mar'!L75+Zapallar!L75</f>
        <v>0</v>
      </c>
      <c r="M77" s="206">
        <f>+Cabildo!M75+'La Calera'!M75+Concón!M75+Hijuelas!M75+'La Cruz'!M75+'La Ligua'!M75+Limache!M75+Nogales!M75+Olmue!M75+Papudo!M75+Petorca!M75+Puchuncavi!M75+Quillota!M75+Quilpue!M75+Quintero!M75+'Villa Alemana'!M75+'Viña del Mar'!M75+Zapallar!M75</f>
        <v>0</v>
      </c>
      <c r="N77" s="206">
        <f>+Cabildo!N75+'La Calera'!N75+Concón!N75+Hijuelas!N75+'La Cruz'!N75+'La Ligua'!N75+Limache!N75+Nogales!N75+Olmue!N75+Papudo!N75+Petorca!N75+Puchuncavi!N75+Quillota!N75+Quilpue!N75+Quintero!N75+'Villa Alemana'!N75+'Viña del Mar'!N75+Zapallar!N75</f>
        <v>20642446</v>
      </c>
      <c r="O77" s="206">
        <f>+Cabildo!O75+'La Calera'!O75+Concón!O75+Hijuelas!O75+'La Cruz'!O75+'La Ligua'!O75+Limache!O75+Nogales!O75+Olmue!O75+Papudo!O75+Petorca!O75+Puchuncavi!O75+Quillota!O75+Quilpue!O75+Quintero!O75+'Villa Alemana'!O75+'Viña del Mar'!O75+Zapallar!O75</f>
        <v>0</v>
      </c>
      <c r="P77" s="206">
        <f>+Cabildo!P75+'La Calera'!P75+Concón!P75+Hijuelas!P75+'La Cruz'!P75+'La Ligua'!P75+Limache!P75+Nogales!P75+Olmue!P75+Papudo!P75+Petorca!P75+Puchuncavi!P75+Quillota!P75+Quilpue!P75+Quintero!P75+'Villa Alemana'!P75+'Viña del Mar'!P75+Zapallar!P75</f>
        <v>0</v>
      </c>
      <c r="Q77" s="206">
        <f>+Cabildo!Q75+'La Calera'!Q75+Concón!Q75+Hijuelas!Q75+'La Cruz'!Q75+'La Ligua'!Q75+Limache!Q75+Nogales!Q75+Olmue!Q75+Papudo!Q75+Petorca!Q75+Puchuncavi!Q75+Quillota!Q75+Quilpue!Q75+Quintero!Q75+'Villa Alemana'!Q75+'Viña del Mar'!Q75+Zapallar!Q75</f>
        <v>20699199.300000001</v>
      </c>
      <c r="R77" s="206">
        <f>+Cabildo!R75+'La Calera'!R75+Concón!R75+Hijuelas!R75+'La Cruz'!R75+'La Ligua'!R75+Limache!R75+Nogales!R75+Olmue!R75+Papudo!R75+Petorca!R75+Puchuncavi!R75+Quillota!R75+Quilpue!R75+Quintero!R75+'Villa Alemana'!R75+'Viña del Mar'!R75+Zapallar!R75</f>
        <v>0</v>
      </c>
      <c r="S77" s="206">
        <f>+Cabildo!S75+'La Calera'!S75+Concón!S75+Hijuelas!S75+'La Cruz'!S75+'La Ligua'!S75+Limache!S75+Nogales!S75+Olmue!S75+Papudo!S75+Petorca!S75+Puchuncavi!S75+Quillota!S75+Quilpue!S75+Quintero!S75+'Villa Alemana'!S75+'Viña del Mar'!S75+Zapallar!S75</f>
        <v>0</v>
      </c>
      <c r="T77" s="227">
        <f>+Cabildo!T75+'La Calera'!T75+Concón!T75+Hijuelas!T75+'La Cruz'!T75+'La Ligua'!T75+Limache!T75+Nogales!T75+Olmue!T75+Papudo!T75+Petorca!T75+Puchuncavi!T75+Quillota!T75+Quilpue!T75+Quintero!T75+'Villa Alemana'!T75+'Viña del Mar'!T75+Zapallar!T75</f>
        <v>0</v>
      </c>
      <c r="U77" s="235">
        <f>+Cabildo!U75+'La Calera'!U75+Concón!U75+Hijuelas!U75+'La Cruz'!U75+'La Ligua'!U75+Limache!U75+Nogales!U75+Olmue!U75+Papudo!U75+Petorca!U75+Puchuncavi!U75+Quillota!U75+Quilpue!U75+Quintero!U75+'Villa Alemana'!U75+'Viña del Mar'!U75+Zapallar!U75</f>
        <v>0</v>
      </c>
      <c r="V77" s="206">
        <f>+Cabildo!V75+'La Calera'!V75+Concón!V75+Hijuelas!V75+'La Cruz'!V75+'La Ligua'!V75+Limache!V75+Nogales!V75+Olmue!V75+Papudo!V75+Petorca!V75+Puchuncavi!V75+Quillota!V75+Quilpue!V75+Quintero!V75+'Villa Alemana'!V75+'Viña del Mar'!V75+Zapallar!V75</f>
        <v>0</v>
      </c>
      <c r="W77" s="206">
        <f>+Cabildo!W75+'La Calera'!W75+Concón!W75+Hijuelas!W75+'La Cruz'!W75+'La Ligua'!W75+Limache!W75+Nogales!W75+Olmue!W75+Papudo!W75+Petorca!W75+Puchuncavi!W75+Quillota!W75+Quilpue!W75+Quintero!W75+'Villa Alemana'!W75+'Viña del Mar'!W75+Zapallar!W75</f>
        <v>0</v>
      </c>
      <c r="X77" s="206">
        <f>+Cabildo!X75+'La Calera'!X75+Concón!X75+Hijuelas!X75+'La Cruz'!X75+'La Ligua'!X75+Limache!X75+Nogales!X75+Olmue!X75+Papudo!X75+Petorca!X75+Puchuncavi!X75+Quillota!X75+Quilpue!X75+Quintero!X75+'Villa Alemana'!X75+'Viña del Mar'!X75+Zapallar!X75</f>
        <v>0</v>
      </c>
      <c r="Y77" s="206">
        <f>+Cabildo!Y75+'La Calera'!Y75+Concón!Y75+Hijuelas!Y75+'La Cruz'!Y75+'La Ligua'!Y75+Limache!Y75+Nogales!Y75+Olmue!Y75+Papudo!Y75+Petorca!Y75+Puchuncavi!Y75+Quillota!Y75+Quilpue!Y75+Quintero!Y75+'Villa Alemana'!Y75+'Viña del Mar'!Y75+Zapallar!Y75</f>
        <v>0</v>
      </c>
      <c r="Z77" s="206">
        <f>+Cabildo!Z75+'La Calera'!Z75+Concón!Z75+Hijuelas!Z75+'La Cruz'!Z75+'La Ligua'!Z75+Limache!Z75+Nogales!Z75+Olmue!Z75+Papudo!Z75+Petorca!Z75+Puchuncavi!Z75+Quillota!Z75+Quilpue!Z75+Quintero!Z75+'Villa Alemana'!Z75+'Viña del Mar'!Z75+Zapallar!Z75</f>
        <v>0</v>
      </c>
      <c r="AA77" s="206">
        <f>+Cabildo!AA75+'La Calera'!AA75+Concón!AA75+Hijuelas!AA75+'La Cruz'!AA75+'La Ligua'!AA75+Limache!AA75+Nogales!AA75+Olmue!AA75+Papudo!AA75+Petorca!AA75+Puchuncavi!AA75+Quillota!AA75+Quilpue!AA75+Quintero!AA75+'Villa Alemana'!AA75+'Viña del Mar'!AA75+Zapallar!AA75</f>
        <v>0</v>
      </c>
      <c r="AB77" s="206">
        <f>+Cabildo!AB75+'La Calera'!AB75+Concón!AB75+Hijuelas!AB75+'La Cruz'!AB75+'La Ligua'!AB75+Limache!AB75+Nogales!AB75+Olmue!AB75+Papudo!AB75+Petorca!AB75+Puchuncavi!AB75+Quillota!AB75+Quilpue!AB75+Quintero!AB75+'Villa Alemana'!AB75+'Viña del Mar'!AB75+Zapallar!AB75</f>
        <v>0</v>
      </c>
      <c r="AC77" s="206">
        <f>+Cabildo!AC75+'La Calera'!AC75+Concón!AC75+Hijuelas!AC75+'La Cruz'!AC75+'La Ligua'!AC75+Limache!AC75+Nogales!AC75+Olmue!AC75+Papudo!AC75+Petorca!AC75+Puchuncavi!AC75+Quillota!AC75+Quilpue!AC75+Quintero!AC75+'Villa Alemana'!AC75+'Viña del Mar'!AC75+Zapallar!AC75</f>
        <v>0</v>
      </c>
      <c r="AD77" s="206">
        <f>+Cabildo!AD75+'La Calera'!AD75+Concón!AD75+Hijuelas!AD75+'La Cruz'!AD75+'La Ligua'!AD75+Limache!AD75+Nogales!AD75+Olmue!AD75+Papudo!AD75+Petorca!AD75+Puchuncavi!AD75+Quillota!AD75+Quilpue!AD75+Quintero!AD75+'Villa Alemana'!AD75+'Viña del Mar'!AD75+Zapallar!AD75</f>
        <v>0</v>
      </c>
      <c r="AE77" s="206">
        <f>+Cabildo!AE75+'La Calera'!AE75+Concón!AE75+Hijuelas!AE75+'La Cruz'!AE75+'La Ligua'!AE75+Limache!AE75+Nogales!AE75+Olmue!AE75+Papudo!AE75+Petorca!AE75+Puchuncavi!AE75+Quillota!AE75+Quilpue!AE75+Quintero!AE75+'Villa Alemana'!AE75+'Viña del Mar'!AE75+Zapallar!AE75</f>
        <v>0</v>
      </c>
      <c r="AF77" s="221">
        <f>+Cabildo!AF75+'La Calera'!AF75+Concón!AF75+Hijuelas!AF75+'La Cruz'!AF75+'La Ligua'!AF75+Limache!AF75+Nogales!AF75+Olmue!AF75+Papudo!AF75+Petorca!AF75+Puchuncavi!AF75+Quillota!AF75+Quilpue!AF75+Quintero!AF75+'Villa Alemana'!AF75+'Viña del Mar'!AF75+Zapallar!AF75</f>
        <v>0</v>
      </c>
      <c r="AG77" s="664">
        <f t="shared" si="9"/>
        <v>0</v>
      </c>
      <c r="AH77" s="431">
        <f t="shared" si="10"/>
        <v>41341645.299999997</v>
      </c>
      <c r="AK77" s="235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27"/>
      <c r="AW77" s="228">
        <f t="shared" ref="AW77:AW84" si="14">SUM(AK77:AV77)</f>
        <v>0</v>
      </c>
      <c r="AX77" s="431">
        <f t="shared" si="11"/>
        <v>0</v>
      </c>
    </row>
    <row r="78" spans="1:50" ht="15">
      <c r="A78" s="18">
        <v>43</v>
      </c>
      <c r="B78" s="52" t="s">
        <v>173</v>
      </c>
      <c r="C78" s="148"/>
      <c r="D78" s="21">
        <f>+Cabildo!D76+'La Calera'!D76+Concón!D76+Hijuelas!D76+'La Cruz'!D76+'La Ligua'!D76+Limache!D76+Nogales!D76+Olmue!D76+Papudo!D76+Petorca!D76+Puchuncavi!D76+Quillota!D76+Quilpue!D76+Quintero!D76+'Villa Alemana'!D76+'Viña del Mar'!D76+Zapallar!D76</f>
        <v>101589300</v>
      </c>
      <c r="E78" s="720" t="s">
        <v>172</v>
      </c>
      <c r="F78" s="721"/>
      <c r="G78" s="721"/>
      <c r="H78" s="324">
        <f t="shared" si="8"/>
        <v>102671296</v>
      </c>
      <c r="I78" s="252">
        <f>+Cabildo!I76+'La Calera'!I76+Concón!I76+Hijuelas!I76+'La Cruz'!I76+'La Ligua'!I76+Limache!I76+Nogales!I76+Olmue!I76+Papudo!I76+Petorca!I76+Puchuncavi!I76+Quillota!I76+Quilpue!I76+Quintero!I76+'Villa Alemana'!I76+'Viña del Mar'!I76+Zapallar!I76</f>
        <v>0</v>
      </c>
      <c r="J78" s="206">
        <f>+Cabildo!J76+'La Calera'!J76+Concón!J76+Hijuelas!J76+'La Cruz'!J76+'La Ligua'!J76+Limache!J76+Nogales!J76+Olmue!J76+Papudo!J76+Petorca!J76+Puchuncavi!J76+Quillota!J76+Quilpue!J76+Quintero!J76+'Villa Alemana'!J76+'Viña del Mar'!J76+Zapallar!J76</f>
        <v>0</v>
      </c>
      <c r="K78" s="206">
        <f>+Cabildo!K76+'La Calera'!K76+Concón!K76+Hijuelas!K76+'La Cruz'!K76+'La Ligua'!K76+Limache!K76+Nogales!K76+Olmue!K76+Papudo!K76+Petorca!K76+Puchuncavi!K76+Quillota!K76+Quilpue!K76+Quintero!K76+'Villa Alemana'!K76+'Viña del Mar'!K76+Zapallar!K76</f>
        <v>0</v>
      </c>
      <c r="L78" s="206">
        <f>+Cabildo!L76+'La Calera'!L76+Concón!L76+Hijuelas!L76+'La Cruz'!L76+'La Ligua'!L76+Limache!L76+Nogales!L76+Olmue!L76+Papudo!L76+Petorca!L76+Puchuncavi!L76+Quillota!L76+Quilpue!L76+Quintero!L76+'Villa Alemana'!L76+'Viña del Mar'!L76+Zapallar!L76</f>
        <v>0</v>
      </c>
      <c r="M78" s="206">
        <f>+Cabildo!M76+'La Calera'!M76+Concón!M76+Hijuelas!M76+'La Cruz'!M76+'La Ligua'!M76+Limache!M76+Nogales!M76+Olmue!M76+Papudo!M76+Petorca!M76+Puchuncavi!M76+Quillota!M76+Quilpue!M76+Quintero!M76+'Villa Alemana'!M76+'Viña del Mar'!M76+Zapallar!M76</f>
        <v>0</v>
      </c>
      <c r="N78" s="206">
        <f>+Cabildo!N76+'La Calera'!N76+Concón!N76+Hijuelas!N76+'La Cruz'!N76+'La Ligua'!N76+Limache!N76+Nogales!N76+Olmue!N76+Papudo!N76+Petorca!N76+Puchuncavi!N76+Quillota!N76+Quilpue!N76+Quintero!N76+'Villa Alemana'!N76+'Viña del Mar'!N76+Zapallar!N76</f>
        <v>46653740</v>
      </c>
      <c r="O78" s="206">
        <f>+Cabildo!O76+'La Calera'!O76+Concón!O76+Hijuelas!O76+'La Cruz'!O76+'La Ligua'!O76+Limache!O76+Nogales!O76+Olmue!O76+Papudo!O76+Petorca!O76+Puchuncavi!O76+Quillota!O76+Quilpue!O76+Quintero!O76+'Villa Alemana'!O76+'Viña del Mar'!O76+Zapallar!O76</f>
        <v>0</v>
      </c>
      <c r="P78" s="206">
        <f>+Cabildo!P76+'La Calera'!P76+Concón!P76+Hijuelas!P76+'La Cruz'!P76+'La Ligua'!P76+Limache!P76+Nogales!P76+Olmue!P76+Papudo!P76+Petorca!P76+Puchuncavi!P76+Quillota!P76+Quilpue!P76+Quintero!P76+'Villa Alemana'!P76+'Viña del Mar'!P76+Zapallar!P76</f>
        <v>21475860</v>
      </c>
      <c r="Q78" s="206">
        <f>+Cabildo!Q76+'La Calera'!Q76+Concón!Q76+Hijuelas!Q76+'La Cruz'!Q76+'La Ligua'!Q76+Limache!Q76+Nogales!Q76+Olmue!Q76+Papudo!Q76+Petorca!Q76+Puchuncavi!Q76+Quillota!Q76+Quilpue!Q76+Quintero!Q76+'Villa Alemana'!Q76+'Viña del Mar'!Q76+Zapallar!Q76</f>
        <v>8138471</v>
      </c>
      <c r="R78" s="206">
        <f>+Cabildo!R76+'La Calera'!R76+Concón!R76+Hijuelas!R76+'La Cruz'!R76+'La Ligua'!R76+Limache!R76+Nogales!R76+Olmue!R76+Papudo!R76+Petorca!R76+Puchuncavi!R76+Quillota!R76+Quilpue!R76+Quintero!R76+'Villa Alemana'!R76+'Viña del Mar'!R76+Zapallar!R76</f>
        <v>0</v>
      </c>
      <c r="S78" s="679">
        <f>+Cabildo!S76+'La Calera'!S76+Concón!S76+Hijuelas!S76+'La Cruz'!S76+'La Ligua'!S76+Limache!S76+Nogales!S76+Olmue!S76+Papudo!S76+Petorca!S76+Puchuncavi!S76+Quillota!S76+Quilpue!S76+Quintero!S76+'Villa Alemana'!S76+'Viña del Mar'!S76+Zapallar!S76</f>
        <v>26403225</v>
      </c>
      <c r="T78" s="227">
        <f>+Cabildo!T76+'La Calera'!T76+Concón!T76+Hijuelas!T76+'La Cruz'!T76+'La Ligua'!T76+Limache!T76+Nogales!T76+Olmue!T76+Papudo!T76+Petorca!T76+Puchuncavi!T76+Quillota!T76+Quilpue!T76+Quintero!T76+'Villa Alemana'!T76+'Viña del Mar'!T76+Zapallar!T76</f>
        <v>0</v>
      </c>
      <c r="U78" s="235">
        <f>+Cabildo!U76+'La Calera'!U76+Concón!U76+Hijuelas!U76+'La Cruz'!U76+'La Ligua'!U76+Limache!U76+Nogales!U76+Olmue!U76+Papudo!U76+Petorca!U76+Puchuncavi!U76+Quillota!U76+Quilpue!U76+Quintero!U76+'Villa Alemana'!U76+'Viña del Mar'!U76+Zapallar!U76</f>
        <v>0</v>
      </c>
      <c r="V78" s="206">
        <f>+Cabildo!V76+'La Calera'!V76+Concón!V76+Hijuelas!V76+'La Cruz'!V76+'La Ligua'!V76+Limache!V76+Nogales!V76+Olmue!V76+Papudo!V76+Petorca!V76+Puchuncavi!V76+Quillota!V76+Quilpue!V76+Quintero!V76+'Villa Alemana'!V76+'Viña del Mar'!V76+Zapallar!V76</f>
        <v>0</v>
      </c>
      <c r="W78" s="206">
        <f>+Cabildo!W76+'La Calera'!W76+Concón!W76+Hijuelas!W76+'La Cruz'!W76+'La Ligua'!W76+Limache!W76+Nogales!W76+Olmue!W76+Papudo!W76+Petorca!W76+Puchuncavi!W76+Quillota!W76+Quilpue!W76+Quintero!W76+'Villa Alemana'!W76+'Viña del Mar'!W76+Zapallar!W76</f>
        <v>0</v>
      </c>
      <c r="X78" s="206">
        <f>+Cabildo!X76+'La Calera'!X76+Concón!X76+Hijuelas!X76+'La Cruz'!X76+'La Ligua'!X76+Limache!X76+Nogales!X76+Olmue!X76+Papudo!X76+Petorca!X76+Puchuncavi!X76+Quillota!X76+Quilpue!X76+Quintero!X76+'Villa Alemana'!X76+'Viña del Mar'!X76+Zapallar!X76</f>
        <v>0</v>
      </c>
      <c r="Y78" s="206">
        <f>+Cabildo!Y76+'La Calera'!Y76+Concón!Y76+Hijuelas!Y76+'La Cruz'!Y76+'La Ligua'!Y76+Limache!Y76+Nogales!Y76+Olmue!Y76+Papudo!Y76+Petorca!Y76+Puchuncavi!Y76+Quillota!Y76+Quilpue!Y76+Quintero!Y76+'Villa Alemana'!Y76+'Viña del Mar'!Y76+Zapallar!Y76</f>
        <v>0</v>
      </c>
      <c r="Z78" s="206">
        <f>+Cabildo!Z76+'La Calera'!Z76+Concón!Z76+Hijuelas!Z76+'La Cruz'!Z76+'La Ligua'!Z76+Limache!Z76+Nogales!Z76+Olmue!Z76+Papudo!Z76+Petorca!Z76+Puchuncavi!Z76+Quillota!Z76+Quilpue!Z76+Quintero!Z76+'Villa Alemana'!Z76+'Viña del Mar'!Z76+Zapallar!Z76</f>
        <v>0</v>
      </c>
      <c r="AA78" s="206">
        <f>+Cabildo!AA76+'La Calera'!AA76+Concón!AA76+Hijuelas!AA76+'La Cruz'!AA76+'La Ligua'!AA76+Limache!AA76+Nogales!AA76+Olmue!AA76+Papudo!AA76+Petorca!AA76+Puchuncavi!AA76+Quillota!AA76+Quilpue!AA76+Quintero!AA76+'Villa Alemana'!AA76+'Viña del Mar'!AA76+Zapallar!AA76</f>
        <v>0</v>
      </c>
      <c r="AB78" s="206">
        <f>+Cabildo!AB76+'La Calera'!AB76+Concón!AB76+Hijuelas!AB76+'La Cruz'!AB76+'La Ligua'!AB76+Limache!AB76+Nogales!AB76+Olmue!AB76+Papudo!AB76+Petorca!AB76+Puchuncavi!AB76+Quillota!AB76+Quilpue!AB76+Quintero!AB76+'Villa Alemana'!AB76+'Viña del Mar'!AB76+Zapallar!AB76</f>
        <v>0</v>
      </c>
      <c r="AC78" s="206">
        <f>+Cabildo!AC76+'La Calera'!AC76+Concón!AC76+Hijuelas!AC76+'La Cruz'!AC76+'La Ligua'!AC76+Limache!AC76+Nogales!AC76+Olmue!AC76+Papudo!AC76+Petorca!AC76+Puchuncavi!AC76+Quillota!AC76+Quilpue!AC76+Quintero!AC76+'Villa Alemana'!AC76+'Viña del Mar'!AC76+Zapallar!AC76</f>
        <v>0</v>
      </c>
      <c r="AD78" s="206">
        <f>+Cabildo!AD76+'La Calera'!AD76+Concón!AD76+Hijuelas!AD76+'La Cruz'!AD76+'La Ligua'!AD76+Limache!AD76+Nogales!AD76+Olmue!AD76+Papudo!AD76+Petorca!AD76+Puchuncavi!AD76+Quillota!AD76+Quilpue!AD76+Quintero!AD76+'Villa Alemana'!AD76+'Viña del Mar'!AD76+Zapallar!AD76</f>
        <v>0</v>
      </c>
      <c r="AE78" s="206">
        <f>+Cabildo!AE76+'La Calera'!AE76+Concón!AE76+Hijuelas!AE76+'La Cruz'!AE76+'La Ligua'!AE76+Limache!AE76+Nogales!AE76+Olmue!AE76+Papudo!AE76+Petorca!AE76+Puchuncavi!AE76+Quillota!AE76+Quilpue!AE76+Quintero!AE76+'Villa Alemana'!AE76+'Viña del Mar'!AE76+Zapallar!AE76</f>
        <v>0</v>
      </c>
      <c r="AF78" s="221">
        <f>+Cabildo!AF76+'La Calera'!AF76+Concón!AF76+Hijuelas!AF76+'La Cruz'!AF76+'La Ligua'!AF76+Limache!AF76+Nogales!AF76+Olmue!AF76+Papudo!AF76+Petorca!AF76+Puchuncavi!AF76+Quillota!AF76+Quilpue!AF76+Quintero!AF76+'Villa Alemana'!AF76+'Viña del Mar'!AF76+Zapallar!AF76</f>
        <v>0</v>
      </c>
      <c r="AG78" s="664">
        <f t="shared" si="9"/>
        <v>0</v>
      </c>
      <c r="AH78" s="431">
        <f t="shared" si="10"/>
        <v>102671296</v>
      </c>
      <c r="AI78" s="170">
        <f>SUM(AH77:AH79)</f>
        <v>418715807.80000007</v>
      </c>
      <c r="AK78" s="235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27"/>
      <c r="AW78" s="228">
        <f t="shared" si="14"/>
        <v>0</v>
      </c>
      <c r="AX78" s="431">
        <f t="shared" si="11"/>
        <v>0</v>
      </c>
    </row>
    <row r="79" spans="1:50" ht="15">
      <c r="A79" s="18">
        <v>44</v>
      </c>
      <c r="B79" s="52" t="s">
        <v>188</v>
      </c>
      <c r="C79" s="148"/>
      <c r="D79" s="21">
        <f>+Cabildo!D77+'La Calera'!D77+Concón!D77+Hijuelas!D77+'La Cruz'!D77+'La Ligua'!D77+Limache!D77+Nogales!D77+Olmue!D77+Papudo!D77+Petorca!D77+Puchuncavi!D77+Quillota!D77+Quilpue!D77+Quintero!D77+'Villa Alemana'!D77+'Viña del Mar'!D77+Zapallar!D77</f>
        <v>562128350</v>
      </c>
      <c r="E79" s="479"/>
      <c r="F79" s="480"/>
      <c r="G79" s="480"/>
      <c r="H79" s="324">
        <f t="shared" si="8"/>
        <v>548962467.70000005</v>
      </c>
      <c r="I79" s="206">
        <f>+Cabildo!I77+'La Calera'!I77+Concón!I77+Hijuelas!I77+'La Cruz'!I77+'La Ligua'!I77+Limache!I77+Nogales!I77+Olmue!I77+Papudo!I77+Petorca!I77+Puchuncavi!I77+Quillota!I77+Quilpue!I77+Quintero!I77+'Villa Alemana'!I77+'Viña del Mar'!I77+Zapallar!I77</f>
        <v>0</v>
      </c>
      <c r="J79" s="206">
        <f>+Cabildo!J77+'La Calera'!J77+Concón!J77+Hijuelas!J77+'La Cruz'!J77+'La Ligua'!J77+Limache!J77+Nogales!J77+Olmue!J77+Papudo!J77+Petorca!J77+Puchuncavi!J77+Quillota!J77+Quilpue!J77+Quintero!J77+'Villa Alemana'!J77+'Viña del Mar'!J77+Zapallar!J77</f>
        <v>0</v>
      </c>
      <c r="K79" s="206">
        <f>+Cabildo!K77+'La Calera'!K77+Concón!K77+Hijuelas!K77+'La Cruz'!K77+'La Ligua'!K77+Limache!K77+Nogales!K77+Olmue!K77+Papudo!K77+Petorca!K77+Puchuncavi!K77+Quillota!K77+Quilpue!K77+Quintero!K77+'Villa Alemana'!K77+'Viña del Mar'!K77+Zapallar!K77</f>
        <v>0</v>
      </c>
      <c r="L79" s="206">
        <f>+Cabildo!L77+'La Calera'!L77+Concón!L77+Hijuelas!L77+'La Cruz'!L77+'La Ligua'!L77+Limache!L77+Nogales!L77+Olmue!L77+Papudo!L77+Petorca!L77+Puchuncavi!L77+Quillota!L77+Quilpue!L77+Quintero!L77+'Villa Alemana'!L77+'Viña del Mar'!L77+Zapallar!L77</f>
        <v>0</v>
      </c>
      <c r="M79" s="206">
        <f>+Cabildo!M77+'La Calera'!M77+Concón!M77+Hijuelas!M77+'La Cruz'!M77+'La Ligua'!M77+Limache!M77+Nogales!M77+Olmue!M77+Papudo!M77+Petorca!M77+Puchuncavi!M77+Quillota!M77+Quilpue!M77+Quintero!M77+'Villa Alemana'!M77+'Viña del Mar'!M77+Zapallar!M77</f>
        <v>0</v>
      </c>
      <c r="N79" s="206">
        <f>+Cabildo!N77+'La Calera'!N77+Concón!N77+Hijuelas!N77+'La Cruz'!N77+'La Ligua'!N77+Limache!N77+Nogales!N77+Olmue!N77+Papudo!N77+Petorca!N77+Puchuncavi!N77+Quillota!N77+Quilpue!N77+Quintero!N77+'Villa Alemana'!N77+'Viña del Mar'!N77+Zapallar!N77</f>
        <v>0</v>
      </c>
      <c r="O79" s="206">
        <f>+Cabildo!O77+'La Calera'!O77+Concón!O77+Hijuelas!O77+'La Cruz'!O77+'La Ligua'!O77+Limache!O77+Nogales!O77+Olmue!O77+Papudo!O77+Petorca!O77+Puchuncavi!O77+Quillota!O77+Quilpue!O77+Quintero!O77+'Villa Alemana'!O77+'Viña del Mar'!O77+Zapallar!O77</f>
        <v>0</v>
      </c>
      <c r="P79" s="206">
        <f>+Cabildo!P77+'La Calera'!P77+Concón!P77+Hijuelas!P77+'La Cruz'!P77+'La Ligua'!P77+Limache!P77+Nogales!P77+Olmue!P77+Papudo!P77+Petorca!P77+Puchuncavi!P77+Quillota!P77+Quilpue!P77+Quintero!P77+'Villa Alemana'!P77+'Viña del Mar'!P77+Zapallar!P77</f>
        <v>352470761</v>
      </c>
      <c r="Q79" s="206">
        <f>+Cabildo!Q77+'La Calera'!Q77+Concón!Q77+Hijuelas!Q77+'La Cruz'!Q77+'La Ligua'!Q77+Limache!Q77+Nogales!Q77+Olmue!Q77+Papudo!Q77+Petorca!Q77+Puchuncavi!Q77+Quillota!Q77+Quilpue!Q77+Quintero!Q77+'Villa Alemana'!Q77+'Viña del Mar'!Q77+Zapallar!Q77</f>
        <v>196491706.69999999</v>
      </c>
      <c r="R79" s="206">
        <f>+Cabildo!R77+'La Calera'!R77+Concón!R77+Hijuelas!R77+'La Cruz'!R77+'La Ligua'!R77+Limache!R77+Nogales!R77+Olmue!R77+Papudo!R77+Petorca!R77+Puchuncavi!R77+Quillota!R77+Quilpue!R77+Quintero!R77+'Villa Alemana'!R77+'Viña del Mar'!R77+Zapallar!R77</f>
        <v>0</v>
      </c>
      <c r="S79" s="206">
        <f>+Cabildo!S77+'La Calera'!S77+Concón!S77+Hijuelas!S77+'La Cruz'!S77+'La Ligua'!S77+Limache!S77+Nogales!S77+Olmue!S77+Papudo!S77+Petorca!S77+Puchuncavi!S77+Quillota!S77+Quilpue!S77+Quintero!S77+'Villa Alemana'!S77+'Viña del Mar'!S77+Zapallar!S77</f>
        <v>0</v>
      </c>
      <c r="T79" s="227">
        <f>+Cabildo!T77+'La Calera'!T77+Concón!T77+Hijuelas!T77+'La Cruz'!T77+'La Ligua'!T77+Limache!T77+Nogales!T77+Olmue!T77+Papudo!T77+Petorca!T77+Puchuncavi!T77+Quillota!T77+Quilpue!T77+Quintero!T77+'Villa Alemana'!T77+'Viña del Mar'!T77+Zapallar!T77</f>
        <v>0</v>
      </c>
      <c r="U79" s="235">
        <f>+Cabildo!U77+'La Calera'!U77+Concón!U77+Hijuelas!U77+'La Cruz'!U77+'La Ligua'!U77+Limache!U77+Nogales!U77+Olmue!U77+Papudo!U77+Petorca!U77+Puchuncavi!U77+Quillota!U77+Quilpue!U77+Quintero!U77+'Villa Alemana'!U77+'Viña del Mar'!U77+Zapallar!U77</f>
        <v>0</v>
      </c>
      <c r="V79" s="206">
        <f>+Cabildo!V77+'La Calera'!V77+Concón!V77+Hijuelas!V77+'La Cruz'!V77+'La Ligua'!V77+Limache!V77+Nogales!V77+Olmue!V77+Papudo!V77+Petorca!V77+Puchuncavi!V77+Quillota!V77+Quilpue!V77+Quintero!V77+'Villa Alemana'!V77+'Viña del Mar'!V77+Zapallar!V77</f>
        <v>0</v>
      </c>
      <c r="W79" s="206">
        <f>+Cabildo!W77+'La Calera'!W77+Concón!W77+Hijuelas!W77+'La Cruz'!W77+'La Ligua'!W77+Limache!W77+Nogales!W77+Olmue!W77+Papudo!W77+Petorca!W77+Puchuncavi!W77+Quillota!W77+Quilpue!W77+Quintero!W77+'Villa Alemana'!W77+'Viña del Mar'!W77+Zapallar!W77</f>
        <v>0</v>
      </c>
      <c r="X79" s="206">
        <f>+Cabildo!X77+'La Calera'!X77+Concón!X77+Hijuelas!X77+'La Cruz'!X77+'La Ligua'!X77+Limache!X77+Nogales!X77+Olmue!X77+Papudo!X77+Petorca!X77+Puchuncavi!X77+Quillota!X77+Quilpue!X77+Quintero!X77+'Villa Alemana'!X77+'Viña del Mar'!X77+Zapallar!X77</f>
        <v>0</v>
      </c>
      <c r="Y79" s="206">
        <f>+Cabildo!Y77+'La Calera'!Y77+Concón!Y77+Hijuelas!Y77+'La Cruz'!Y77+'La Ligua'!Y77+Limache!Y77+Nogales!Y77+Olmue!Y77+Papudo!Y77+Petorca!Y77+Puchuncavi!Y77+Quillota!Y77+Quilpue!Y77+Quintero!Y77+'Villa Alemana'!Y77+'Viña del Mar'!Y77+Zapallar!Y77</f>
        <v>0</v>
      </c>
      <c r="Z79" s="206">
        <f>+Cabildo!Z77+'La Calera'!Z77+Concón!Z77+Hijuelas!Z77+'La Cruz'!Z77+'La Ligua'!Z77+Limache!Z77+Nogales!Z77+Olmue!Z77+Papudo!Z77+Petorca!Z77+Puchuncavi!Z77+Quillota!Z77+Quilpue!Z77+Quintero!Z77+'Villa Alemana'!Z77+'Viña del Mar'!Z77+Zapallar!Z77</f>
        <v>0</v>
      </c>
      <c r="AA79" s="206">
        <f>+Cabildo!AA77+'La Calera'!AA77+Concón!AA77+Hijuelas!AA77+'La Cruz'!AA77+'La Ligua'!AA77+Limache!AA77+Nogales!AA77+Olmue!AA77+Papudo!AA77+Petorca!AA77+Puchuncavi!AA77+Quillota!AA77+Quilpue!AA77+Quintero!AA77+'Villa Alemana'!AA77+'Viña del Mar'!AA77+Zapallar!AA77</f>
        <v>0</v>
      </c>
      <c r="AB79" s="206">
        <f>+Cabildo!AB77+'La Calera'!AB77+Concón!AB77+Hijuelas!AB77+'La Cruz'!AB77+'La Ligua'!AB77+Limache!AB77+Nogales!AB77+Olmue!AB77+Papudo!AB77+Petorca!AB77+Puchuncavi!AB77+Quillota!AB77+Quilpue!AB77+Quintero!AB77+'Villa Alemana'!AB77+'Viña del Mar'!AB77+Zapallar!AB77</f>
        <v>266278122.79999998</v>
      </c>
      <c r="AC79" s="206">
        <f>+Cabildo!AC77+'La Calera'!AC77+Concón!AC77+Hijuelas!AC77+'La Cruz'!AC77+'La Ligua'!AC77+Limache!AC77+Nogales!AC77+Olmue!AC77+Papudo!AC77+Petorca!AC77+Puchuncavi!AC77+Quillota!AC77+Quilpue!AC77+Quintero!AC77+'Villa Alemana'!AC77+'Viña del Mar'!AC77+Zapallar!AC77</f>
        <v>0</v>
      </c>
      <c r="AD79" s="206">
        <f>+Cabildo!AD77+'La Calera'!AD77+Concón!AD77+Hijuelas!AD77+'La Cruz'!AD77+'La Ligua'!AD77+Limache!AD77+Nogales!AD77+Olmue!AD77+Papudo!AD77+Petorca!AD77+Puchuncavi!AD77+Quillota!AD77+Quilpue!AD77+Quintero!AD77+'Villa Alemana'!AD77+'Viña del Mar'!AD77+Zapallar!AD77</f>
        <v>0</v>
      </c>
      <c r="AE79" s="206">
        <f>+Cabildo!AE77+'La Calera'!AE77+Concón!AE77+Hijuelas!AE77+'La Cruz'!AE77+'La Ligua'!AE77+Limache!AE77+Nogales!AE77+Olmue!AE77+Papudo!AE77+Petorca!AE77+Puchuncavi!AE77+Quillota!AE77+Quilpue!AE77+Quintero!AE77+'Villa Alemana'!AE77+'Viña del Mar'!AE77+Zapallar!AE77</f>
        <v>7981478.3999999948</v>
      </c>
      <c r="AF79" s="221">
        <f>+Cabildo!AF77+'La Calera'!AF77+Concón!AF77+Hijuelas!AF77+'La Cruz'!AF77+'La Ligua'!AF77+Limache!AF77+Nogales!AF77+Olmue!AF77+Papudo!AF77+Petorca!AF77+Puchuncavi!AF77+Quillota!AF77+Quilpue!AF77+Quintero!AF77+'Villa Alemana'!AF77+'Viña del Mar'!AF77+Zapallar!AF77</f>
        <v>0</v>
      </c>
      <c r="AG79" s="664">
        <f t="shared" si="9"/>
        <v>274259601.19999999</v>
      </c>
      <c r="AH79" s="431">
        <f t="shared" si="10"/>
        <v>274702866.50000006</v>
      </c>
      <c r="AK79" s="235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27"/>
      <c r="AW79" s="228">
        <f t="shared" si="14"/>
        <v>0</v>
      </c>
      <c r="AX79" s="431">
        <f t="shared" si="11"/>
        <v>274259601.19999999</v>
      </c>
    </row>
    <row r="80" spans="1:50" ht="15">
      <c r="A80" s="18">
        <v>45</v>
      </c>
      <c r="B80" s="52" t="s">
        <v>189</v>
      </c>
      <c r="C80" s="148"/>
      <c r="D80" s="21">
        <f>+Cabildo!D78+'La Calera'!D78+Concón!D78+Hijuelas!D78+'La Cruz'!D78+'La Ligua'!D78+Limache!D78+Nogales!D78+Olmue!D78+Papudo!D78+Petorca!D78+Puchuncavi!D78+Quillota!D78+Quilpue!D78+Quintero!D78+'Villa Alemana'!D78+'Viña del Mar'!D78+Zapallar!D78</f>
        <v>679539001</v>
      </c>
      <c r="E80" s="720" t="s">
        <v>172</v>
      </c>
      <c r="F80" s="721"/>
      <c r="G80" s="721"/>
      <c r="H80" s="324">
        <f t="shared" si="8"/>
        <v>0</v>
      </c>
      <c r="I80" s="252"/>
      <c r="J80" s="206">
        <f>+Cabildo!J78+'La Calera'!J78+Concón!J78+Hijuelas!J78+'La Cruz'!J78+'La Ligua'!J78+Limache!J78+Nogales!J78+Olmue!J78+Papudo!J78+Petorca!J78+Puchuncavi!J78+Quillota!J78+Quilpue!J78+Quintero!J78+'Villa Alemana'!J78+'Viña del Mar'!J78+Zapallar!J78</f>
        <v>0</v>
      </c>
      <c r="K80" s="206">
        <f>+Cabildo!K78+'La Calera'!K78+Concón!K78+Hijuelas!K78+'La Cruz'!K78+'La Ligua'!K78+Limache!K78+Nogales!K78+Olmue!K78+Papudo!K78+Petorca!K78+Puchuncavi!K78+Quillota!K78+Quilpue!K78+Quintero!K78+'Villa Alemana'!K78+'Viña del Mar'!K78+Zapallar!K78</f>
        <v>0</v>
      </c>
      <c r="L80" s="206">
        <f>+Cabildo!L78+'La Calera'!L78+Concón!L78+Hijuelas!L78+'La Cruz'!L78+'La Ligua'!L78+Limache!L78+Nogales!L78+Olmue!L78+Papudo!L78+Petorca!L78+Puchuncavi!L78+Quillota!L78+Quilpue!L78+Quintero!L78+'Villa Alemana'!L78+'Viña del Mar'!L78+Zapallar!L78</f>
        <v>0</v>
      </c>
      <c r="M80" s="206">
        <f>+Cabildo!M78+'La Calera'!M78+Concón!M78+Hijuelas!M78+'La Cruz'!M78+'La Ligua'!M78+Limache!M78+Nogales!M78+Olmue!M78+Papudo!M78+Petorca!M78+Puchuncavi!M78+Quillota!M78+Quilpue!M78+Quintero!M78+'Villa Alemana'!M78+'Viña del Mar'!M78+Zapallar!M78</f>
        <v>0</v>
      </c>
      <c r="N80" s="206">
        <f>+Cabildo!N78+'La Calera'!N78+Concón!N78+Hijuelas!N78+'La Cruz'!N78+'La Ligua'!N78+Limache!N78+Nogales!N78+Olmue!N78+Papudo!N78+Petorca!N78+Puchuncavi!N78+Quillota!N78+Quilpue!N78+Quintero!N78+'Villa Alemana'!N78+'Viña del Mar'!N78+Zapallar!N78</f>
        <v>0</v>
      </c>
      <c r="O80" s="206">
        <f>+Cabildo!O78+'La Calera'!O78+Concón!O78+Hijuelas!O78+'La Cruz'!O78+'La Ligua'!O78+Limache!O78+Nogales!O78+Olmue!O78+Papudo!O78+Petorca!O78+Puchuncavi!O78+Quillota!O78+Quilpue!O78+Quintero!O78+'Villa Alemana'!O78+'Viña del Mar'!O78+Zapallar!O78</f>
        <v>0</v>
      </c>
      <c r="P80" s="206">
        <f>+Cabildo!P78+'La Calera'!P78+Concón!P78+Hijuelas!P78+'La Cruz'!P78+'La Ligua'!P78+Limache!P78+Nogales!P78+Olmue!P78+Papudo!P78+Petorca!P78+Puchuncavi!P78+Quillota!P78+Quilpue!P78+Quintero!P78+'Villa Alemana'!P78+'Viña del Mar'!P78+Zapallar!P78</f>
        <v>0</v>
      </c>
      <c r="Q80" s="206">
        <f>+Cabildo!Q78+'La Calera'!Q78+Concón!Q78+Hijuelas!Q78+'La Cruz'!Q78+'La Ligua'!Q78+Limache!Q78+Nogales!Q78+Olmue!Q78+Papudo!Q78+Petorca!Q78+Puchuncavi!Q78+Quillota!Q78+Quilpue!Q78+Quintero!Q78+'Villa Alemana'!Q78+'Viña del Mar'!Q78+Zapallar!Q78</f>
        <v>0</v>
      </c>
      <c r="R80" s="206">
        <f>+Cabildo!R78+'La Calera'!R78+Concón!R78+Hijuelas!R78+'La Cruz'!R78+'La Ligua'!R78+Limache!R78+Nogales!R78+Olmue!R78+Papudo!R78+Petorca!R78+Puchuncavi!R78+Quillota!R78+Quilpue!R78+Quintero!R78+'Villa Alemana'!R78+'Viña del Mar'!R78+Zapallar!R78</f>
        <v>0</v>
      </c>
      <c r="S80" s="206">
        <f>+Cabildo!S78+'La Calera'!S78+Concón!S78+Hijuelas!S78+'La Cruz'!S78+'La Ligua'!S78+Limache!S78+Nogales!S78+Olmue!S78+Papudo!S78+Petorca!S78+Puchuncavi!S78+Quillota!S78+Quilpue!S78+Quintero!S78+'Villa Alemana'!S78+'Viña del Mar'!S78+Zapallar!S78</f>
        <v>0</v>
      </c>
      <c r="T80" s="227">
        <f>+Cabildo!T78+'La Calera'!T78+Concón!T78+Hijuelas!T78+'La Cruz'!T78+'La Ligua'!T78+Limache!T78+Nogales!T78+Olmue!T78+Papudo!T78+Petorca!T78+Puchuncavi!T78+Quillota!T78+Quilpue!T78+Quintero!T78+'Villa Alemana'!T78+'Viña del Mar'!T78+Zapallar!T78</f>
        <v>0</v>
      </c>
      <c r="U80" s="235">
        <f>+Cabildo!U78+'La Calera'!U78+Concón!U78+Hijuelas!U78+'La Cruz'!U78+'La Ligua'!U78+Limache!U78+Nogales!U78+Olmue!U78+Papudo!U78+Petorca!U78+Puchuncavi!U78+Quillota!U78+Quilpue!U78+Quintero!U78+'Villa Alemana'!U78+'Viña del Mar'!U78+Zapallar!U78</f>
        <v>0</v>
      </c>
      <c r="V80" s="206">
        <f>+Cabildo!V78+'La Calera'!V78+Concón!V78+Hijuelas!V78+'La Cruz'!V78+'La Ligua'!V78+Limache!V78+Nogales!V78+Olmue!V78+Papudo!V78+Petorca!V78+Puchuncavi!V78+Quillota!V78+Quilpue!V78+Quintero!V78+'Villa Alemana'!V78+'Viña del Mar'!V78+Zapallar!V78</f>
        <v>0</v>
      </c>
      <c r="W80" s="206">
        <f>+Cabildo!W78+'La Calera'!W78+Concón!W78+Hijuelas!W78+'La Cruz'!W78+'La Ligua'!W78+Limache!W78+Nogales!W78+Olmue!W78+Papudo!W78+Petorca!W78+Puchuncavi!W78+Quillota!W78+Quilpue!W78+Quintero!W78+'Villa Alemana'!W78+'Viña del Mar'!W78+Zapallar!W78</f>
        <v>0</v>
      </c>
      <c r="X80" s="206">
        <f>+Cabildo!X78+'La Calera'!X78+Concón!X78+Hijuelas!X78+'La Cruz'!X78+'La Ligua'!X78+Limache!X78+Nogales!X78+Olmue!X78+Papudo!X78+Petorca!X78+Puchuncavi!X78+Quillota!X78+Quilpue!X78+Quintero!X78+'Villa Alemana'!X78+'Viña del Mar'!X78+Zapallar!X78</f>
        <v>0</v>
      </c>
      <c r="Y80" s="206">
        <f>+Cabildo!Y78+'La Calera'!Y78+Concón!Y78+Hijuelas!Y78+'La Cruz'!Y78+'La Ligua'!Y78+Limache!Y78+Nogales!Y78+Olmue!Y78+Papudo!Y78+Petorca!Y78+Puchuncavi!Y78+Quillota!Y78+Quilpue!Y78+Quintero!Y78+'Villa Alemana'!Y78+'Viña del Mar'!Y78+Zapallar!Y78</f>
        <v>0</v>
      </c>
      <c r="Z80" s="206">
        <f>+Cabildo!Z78+'La Calera'!Z78+Concón!Z78+Hijuelas!Z78+'La Cruz'!Z78+'La Ligua'!Z78+Limache!Z78+Nogales!Z78+Olmue!Z78+Papudo!Z78+Petorca!Z78+Puchuncavi!Z78+Quillota!Z78+Quilpue!Z78+Quintero!Z78+'Villa Alemana'!Z78+'Viña del Mar'!Z78+Zapallar!Z78</f>
        <v>0</v>
      </c>
      <c r="AA80" s="206">
        <f>+Cabildo!AA78+'La Calera'!AA78+Concón!AA78+Hijuelas!AA78+'La Cruz'!AA78+'La Ligua'!AA78+Limache!AA78+Nogales!AA78+Olmue!AA78+Papudo!AA78+Petorca!AA78+Puchuncavi!AA78+Quillota!AA78+Quilpue!AA78+Quintero!AA78+'Villa Alemana'!AA78+'Viña del Mar'!AA78+Zapallar!AA78</f>
        <v>0</v>
      </c>
      <c r="AB80" s="206">
        <f>+Cabildo!AB78+'La Calera'!AB78+Concón!AB78+Hijuelas!AB78+'La Cruz'!AB78+'La Ligua'!AB78+Limache!AB78+Nogales!AB78+Olmue!AB78+Papudo!AB78+Petorca!AB78+Puchuncavi!AB78+Quillota!AB78+Quilpue!AB78+Quintero!AB78+'Villa Alemana'!AB78+'Viña del Mar'!AB78+Zapallar!AB78</f>
        <v>0</v>
      </c>
      <c r="AC80" s="206">
        <f>+Cabildo!AC78+'La Calera'!AC78+Concón!AC78+Hijuelas!AC78+'La Cruz'!AC78+'La Ligua'!AC78+Limache!AC78+Nogales!AC78+Olmue!AC78+Papudo!AC78+Petorca!AC78+Puchuncavi!AC78+Quillota!AC78+Quilpue!AC78+Quintero!AC78+'Villa Alemana'!AC78+'Viña del Mar'!AC78+Zapallar!AC78</f>
        <v>0</v>
      </c>
      <c r="AD80" s="206">
        <f>+Cabildo!AD78+'La Calera'!AD78+Concón!AD78+Hijuelas!AD78+'La Cruz'!AD78+'La Ligua'!AD78+Limache!AD78+Nogales!AD78+Olmue!AD78+Papudo!AD78+Petorca!AD78+Puchuncavi!AD78+Quillota!AD78+Quilpue!AD78+Quintero!AD78+'Villa Alemana'!AD78+'Viña del Mar'!AD78+Zapallar!AD78</f>
        <v>0</v>
      </c>
      <c r="AE80" s="206">
        <f>+Cabildo!AE78+'La Calera'!AE78+Concón!AE78+Hijuelas!AE78+'La Cruz'!AE78+'La Ligua'!AE78+Limache!AE78+Nogales!AE78+Olmue!AE78+Papudo!AE78+Petorca!AE78+Puchuncavi!AE78+Quillota!AE78+Quilpue!AE78+Quintero!AE78+'Villa Alemana'!AE78+'Viña del Mar'!AE78+Zapallar!AE78</f>
        <v>0</v>
      </c>
      <c r="AF80" s="221">
        <f>+Cabildo!AF78+'La Calera'!AF78+Concón!AF78+Hijuelas!AF78+'La Cruz'!AF78+'La Ligua'!AF78+Limache!AF78+Nogales!AF78+Olmue!AF78+Papudo!AF78+Petorca!AF78+Puchuncavi!AF78+Quillota!AF78+Quilpue!AF78+Quintero!AF78+'Villa Alemana'!AF78+'Viña del Mar'!AF78+Zapallar!AF78</f>
        <v>0</v>
      </c>
      <c r="AG80" s="664">
        <f t="shared" si="9"/>
        <v>0</v>
      </c>
      <c r="AH80" s="431">
        <f t="shared" si="10"/>
        <v>0</v>
      </c>
      <c r="AK80" s="235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27"/>
      <c r="AW80" s="228">
        <f t="shared" si="14"/>
        <v>0</v>
      </c>
      <c r="AX80" s="431">
        <f>+AG80-AW80</f>
        <v>0</v>
      </c>
    </row>
    <row r="81" spans="1:50" ht="15">
      <c r="A81" s="18"/>
      <c r="B81" s="52" t="s">
        <v>205</v>
      </c>
      <c r="C81" s="148"/>
      <c r="D81" s="21">
        <f>+Cabildo!D79+'La Calera'!D79+Concón!D79+Hijuelas!D79+'La Cruz'!D79+'La Ligua'!D79+Limache!D79+Nogales!D79+Olmue!D79+Papudo!D79+Petorca!D79+Puchuncavi!D79+Quillota!D79+Quilpue!D79+Quintero!D79+'Villa Alemana'!D79+'Viña del Mar'!D79+Zapallar!D79</f>
        <v>235272467</v>
      </c>
      <c r="E81" s="479"/>
      <c r="F81" s="480"/>
      <c r="G81" s="480"/>
      <c r="H81" s="324">
        <f t="shared" si="8"/>
        <v>235272467</v>
      </c>
      <c r="I81" s="252">
        <f>+Cabildo!I79+'La Calera'!I79+Concón!I79+Hijuelas!I79+'La Cruz'!I79+'La Ligua'!I79+Limache!I79+Nogales!I79+Olmue!I79+Papudo!I79+Petorca!I79+Puchuncavi!I79+Quillota!I79+Quilpue!I79+Quintero!I79+'Villa Alemana'!I79+'Viña del Mar'!I79+Zapallar!I79</f>
        <v>0</v>
      </c>
      <c r="J81" s="206">
        <f>+Cabildo!J79+'La Calera'!J79+Concón!J79+Hijuelas!J79+'La Cruz'!J79+'La Ligua'!J79+Limache!J79+Nogales!J79+Olmue!J79+Papudo!J79+Petorca!J79+Puchuncavi!J79+Quillota!J79+Quilpue!J79+Quintero!J79+'Villa Alemana'!J79+'Viña del Mar'!J79+Zapallar!J79</f>
        <v>0</v>
      </c>
      <c r="K81" s="206">
        <f>+Cabildo!K79+'La Calera'!K79+Concón!K79+Hijuelas!K79+'La Cruz'!K79+'La Ligua'!K79+Limache!K79+Nogales!K79+Olmue!K79+Papudo!K79+Petorca!K79+Puchuncavi!K79+Quillota!K79+Quilpue!K79+Quintero!K79+'Villa Alemana'!K79+'Viña del Mar'!K79+Zapallar!K79</f>
        <v>0</v>
      </c>
      <c r="L81" s="206">
        <f>+Cabildo!L79+'La Calera'!L79+Concón!L79+Hijuelas!L79+'La Cruz'!L79+'La Ligua'!L79+Limache!L79+Nogales!L79+Olmue!L79+Papudo!L79+Petorca!L79+Puchuncavi!L79+Quillota!L79+Quilpue!L79+Quintero!L79+'Villa Alemana'!L79+'Viña del Mar'!L79+Zapallar!L79</f>
        <v>0</v>
      </c>
      <c r="M81" s="206">
        <f>+Cabildo!M79+'La Calera'!M79+Concón!M79+Hijuelas!M79+'La Cruz'!M79+'La Ligua'!M79+Limache!M79+Nogales!M79+Olmue!M79+Papudo!M79+Petorca!M79+Puchuncavi!M79+Quillota!M79+Quilpue!M79+Quintero!M79+'Villa Alemana'!M79+'Viña del Mar'!M79+Zapallar!M79</f>
        <v>0</v>
      </c>
      <c r="N81" s="206">
        <f>+Cabildo!N79+'La Calera'!N79+Concón!N79+Hijuelas!N79+'La Cruz'!N79+'La Ligua'!N79+Limache!N79+Nogales!N79+Olmue!N79+Papudo!N79+Petorca!N79+Puchuncavi!N79+Quillota!N79+Quilpue!N79+Quintero!N79+'Villa Alemana'!N79+'Viña del Mar'!N79+Zapallar!N79</f>
        <v>0</v>
      </c>
      <c r="O81" s="206">
        <f>+Cabildo!O79+'La Calera'!O79+Concón!O79+Hijuelas!O79+'La Cruz'!O79+'La Ligua'!O79+Limache!O79+Nogales!O79+Olmue!O79+Papudo!O79+Petorca!O79+Puchuncavi!O79+Quillota!O79+Quilpue!O79+Quintero!O79+'Villa Alemana'!O79+'Viña del Mar'!O79+Zapallar!O79</f>
        <v>0</v>
      </c>
      <c r="P81" s="206">
        <f>+Cabildo!P79+'La Calera'!P79+Concón!P79+Hijuelas!P79+'La Cruz'!P79+'La Ligua'!P79+Limache!P79+Nogales!P79+Olmue!P79+Papudo!P79+Petorca!P79+Puchuncavi!P79+Quillota!P79+Quilpue!P79+Quintero!P79+'Villa Alemana'!P79+'Viña del Mar'!P79+Zapallar!P79</f>
        <v>0</v>
      </c>
      <c r="Q81" s="560">
        <f>+Cabildo!Q79+'La Calera'!Q79+Concón!Q79+Hijuelas!Q79+'La Cruz'!Q79+'La Ligua'!Q79+Limache!Q79+Nogales!Q79+Olmue!Q79+Papudo!Q79+Petorca!Q79+Puchuncavi!Q79+Quillota!Q79+Quilpue!Q79+Quintero!Q79+'Villa Alemana'!Q79+'Viña del Mar'!Q79+Zapallar!Q79</f>
        <v>164690727</v>
      </c>
      <c r="R81" s="560">
        <f>+Cabildo!R79+'La Calera'!R79+Concón!R79+Hijuelas!R79+'La Cruz'!R79+'La Ligua'!R79+Limache!R79+Nogales!R79+Olmue!R79+Papudo!R79+Petorca!R79+Puchuncavi!R79+Quillota!R79+Quilpue!R79+Quintero!R79+'Villa Alemana'!R79+'Viña del Mar'!R79+Zapallar!R79</f>
        <v>70581740</v>
      </c>
      <c r="S81" s="206">
        <f>+Cabildo!S79+'La Calera'!S79+Concón!S79+Hijuelas!S79+'La Cruz'!S79+'La Ligua'!S79+Limache!S79+Nogales!S79+Olmue!S79+Papudo!S79+Petorca!S79+Puchuncavi!S79+Quillota!S79+Quilpue!S79+Quintero!S79+'Villa Alemana'!S79+'Viña del Mar'!S79+Zapallar!S79</f>
        <v>0</v>
      </c>
      <c r="T81" s="227">
        <f>+Cabildo!T79+'La Calera'!T79+Concón!T79+Hijuelas!T79+'La Cruz'!T79+'La Ligua'!T79+Limache!T79+Nogales!T79+Olmue!T79+Papudo!T79+Petorca!T79+Puchuncavi!T79+Quillota!T79+Quilpue!T79+Quintero!T79+'Villa Alemana'!T79+'Viña del Mar'!T79+Zapallar!T79</f>
        <v>0</v>
      </c>
      <c r="U81" s="235">
        <f>+Cabildo!U79+'La Calera'!U79+Concón!U79+Hijuelas!U79+'La Cruz'!U79+'La Ligua'!U79+Limache!U79+Nogales!U79+Olmue!U79+Papudo!U79+Petorca!U79+Puchuncavi!U79+Quillota!U79+Quilpue!U79+Quintero!U79+'Villa Alemana'!U79+'Viña del Mar'!U79+Zapallar!U79</f>
        <v>0</v>
      </c>
      <c r="V81" s="206">
        <f>+Cabildo!V79+'La Calera'!V79+Concón!V79+Hijuelas!V79+'La Cruz'!V79+'La Ligua'!V79+Limache!V79+Nogales!V79+Olmue!V79+Papudo!V79+Petorca!V79+Puchuncavi!V79+Quillota!V79+Quilpue!V79+Quintero!V79+'Villa Alemana'!V79+'Viña del Mar'!V79+Zapallar!V79</f>
        <v>0</v>
      </c>
      <c r="W81" s="206">
        <f>+Cabildo!W79+'La Calera'!W79+Concón!W79+Hijuelas!W79+'La Cruz'!W79+'La Ligua'!W79+Limache!W79+Nogales!W79+Olmue!W79+Papudo!W79+Petorca!W79+Puchuncavi!W79+Quillota!W79+Quilpue!W79+Quintero!W79+'Villa Alemana'!W79+'Viña del Mar'!W79+Zapallar!W79</f>
        <v>0</v>
      </c>
      <c r="X81" s="206">
        <f>+Cabildo!X79+'La Calera'!X79+Concón!X79+Hijuelas!X79+'La Cruz'!X79+'La Ligua'!X79+Limache!X79+Nogales!X79+Olmue!X79+Papudo!X79+Petorca!X79+Puchuncavi!X79+Quillota!X79+Quilpue!X79+Quintero!X79+'Villa Alemana'!X79+'Viña del Mar'!X79+Zapallar!X79</f>
        <v>0</v>
      </c>
      <c r="Y81" s="206">
        <f>+Cabildo!Y79+'La Calera'!Y79+Concón!Y79+Hijuelas!Y79+'La Cruz'!Y79+'La Ligua'!Y79+Limache!Y79+Nogales!Y79+Olmue!Y79+Papudo!Y79+Petorca!Y79+Puchuncavi!Y79+Quillota!Y79+Quilpue!Y79+Quintero!Y79+'Villa Alemana'!Y79+'Viña del Mar'!Y79+Zapallar!Y79</f>
        <v>0</v>
      </c>
      <c r="Z81" s="206">
        <f>+Cabildo!Z79+'La Calera'!Z79+Concón!Z79+Hijuelas!Z79+'La Cruz'!Z79+'La Ligua'!Z79+Limache!Z79+Nogales!Z79+Olmue!Z79+Papudo!Z79+Petorca!Z79+Puchuncavi!Z79+Quillota!Z79+Quilpue!Z79+Quintero!Z79+'Villa Alemana'!Z79+'Viña del Mar'!Z79+Zapallar!Z79</f>
        <v>0</v>
      </c>
      <c r="AA81" s="206">
        <f>+Cabildo!AA79+'La Calera'!AA79+Concón!AA79+Hijuelas!AA79+'La Cruz'!AA79+'La Ligua'!AA79+Limache!AA79+Nogales!AA79+Olmue!AA79+Papudo!AA79+Petorca!AA79+Puchuncavi!AA79+Quillota!AA79+Quilpue!AA79+Quintero!AA79+'Villa Alemana'!AA79+'Viña del Mar'!AA79+Zapallar!AA79</f>
        <v>0</v>
      </c>
      <c r="AB81" s="206">
        <f>+Cabildo!AB79+'La Calera'!AB79+Concón!AB79+Hijuelas!AB79+'La Cruz'!AB79+'La Ligua'!AB79+Limache!AB79+Nogales!AB79+Olmue!AB79+Papudo!AB79+Petorca!AB79+Puchuncavi!AB79+Quillota!AB79+Quilpue!AB79+Quintero!AB79+'Villa Alemana'!AB79+'Viña del Mar'!AB79+Zapallar!AB79</f>
        <v>0</v>
      </c>
      <c r="AC81" s="206">
        <f>+Cabildo!AC79+'La Calera'!AC79+Concón!AC79+Hijuelas!AC79+'La Cruz'!AC79+'La Ligua'!AC79+Limache!AC79+Nogales!AC79+Olmue!AC79+Papudo!AC79+Petorca!AC79+Puchuncavi!AC79+Quillota!AC79+Quilpue!AC79+Quintero!AC79+'Villa Alemana'!AC79+'Viña del Mar'!AC79+Zapallar!AC79</f>
        <v>164690727</v>
      </c>
      <c r="AD81" s="206">
        <f>+Cabildo!AD79+'La Calera'!AD79+Concón!AD79+Hijuelas!AD79+'La Cruz'!AD79+'La Ligua'!AD79+Limache!AD79+Nogales!AD79+Olmue!AD79+Papudo!AD79+Petorca!AD79+Puchuncavi!AD79+Quillota!AD79+Quilpue!AD79+Quintero!AD79+'Villa Alemana'!AD79+'Viña del Mar'!AD79+Zapallar!AD79</f>
        <v>70581740</v>
      </c>
      <c r="AE81" s="206">
        <f>+Cabildo!AE79+'La Calera'!AE79+Concón!AE79+Hijuelas!AE79+'La Cruz'!AE79+'La Ligua'!AE79+Limache!AE79+Nogales!AE79+Olmue!AE79+Papudo!AE79+Petorca!AE79+Puchuncavi!AE79+Quillota!AE79+Quilpue!AE79+Quintero!AE79+'Villa Alemana'!AE79+'Viña del Mar'!AE79+Zapallar!AE79</f>
        <v>0</v>
      </c>
      <c r="AF81" s="221">
        <f>+Cabildo!AF79+'La Calera'!AF79+Concón!AF79+Hijuelas!AF79+'La Cruz'!AF79+'La Ligua'!AF79+Limache!AF79+Nogales!AF79+Olmue!AF79+Papudo!AF79+Petorca!AF79+Puchuncavi!AF79+Quillota!AF79+Quilpue!AF79+Quintero!AF79+'Villa Alemana'!AF79+'Viña del Mar'!AF79+Zapallar!AF79</f>
        <v>0</v>
      </c>
      <c r="AG81" s="664">
        <f t="shared" si="9"/>
        <v>235272467</v>
      </c>
      <c r="AH81" s="431">
        <f t="shared" si="10"/>
        <v>0</v>
      </c>
      <c r="AK81" s="235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27"/>
      <c r="AW81" s="228">
        <f t="shared" si="14"/>
        <v>0</v>
      </c>
      <c r="AX81" s="431">
        <f>+AG81-AW81</f>
        <v>235272467</v>
      </c>
    </row>
    <row r="82" spans="1:50" ht="15">
      <c r="A82" s="18">
        <v>46</v>
      </c>
      <c r="B82" s="52" t="s">
        <v>145</v>
      </c>
      <c r="C82" s="148"/>
      <c r="D82" s="21">
        <f>+Cabildo!D80+'La Calera'!D80+Concón!D80+Hijuelas!D80+'La Cruz'!D80+'La Ligua'!D80+Limache!D80+Nogales!D80+Olmue!D80+Papudo!D80+Petorca!D80+Puchuncavi!D80+Quillota!D80+Quilpue!D80+Quintero!D80+'Villa Alemana'!D80+'Viña del Mar'!D80+Zapallar!D80</f>
        <v>204421808</v>
      </c>
      <c r="E82" s="174"/>
      <c r="F82" s="175"/>
      <c r="G82" s="176"/>
      <c r="H82" s="324">
        <f t="shared" si="8"/>
        <v>137553345</v>
      </c>
      <c r="I82" s="252">
        <f>+Cabildo!I80+'La Calera'!I80+Concón!I80+Hijuelas!I80+'La Cruz'!I80+'La Ligua'!I80+Limache!I80+Nogales!I80+Olmue!I80+Papudo!I80+Petorca!I80+Puchuncavi!I80+Quillota!I80+Quilpue!I80+Quintero!I80+'Villa Alemana'!I80+'Viña del Mar'!I80+Zapallar!I80</f>
        <v>0</v>
      </c>
      <c r="J82" s="206">
        <f>+Cabildo!J80+'La Calera'!J80+Concón!J80+Hijuelas!J80+'La Cruz'!J80+'La Ligua'!J80+Limache!J80+Nogales!J80+Olmue!J80+Papudo!J80+Petorca!J80+Puchuncavi!J80+Quillota!J80+Quilpue!J80+Quintero!J80+'Villa Alemana'!J80+'Viña del Mar'!J80+Zapallar!J80</f>
        <v>0</v>
      </c>
      <c r="K82" s="206">
        <f>+Cabildo!K80+'La Calera'!K80+Concón!K80+Hijuelas!K80+'La Cruz'!K80+'La Ligua'!K80+Limache!K80+Nogales!K80+Olmue!K80+Papudo!K80+Petorca!K80+Puchuncavi!K80+Quillota!K80+Quilpue!K80+Quintero!K80+'Villa Alemana'!K80+'Viña del Mar'!K80+Zapallar!K80</f>
        <v>64761045</v>
      </c>
      <c r="L82" s="206">
        <f>+Cabildo!L80+'La Calera'!L80+Concón!L80+Hijuelas!L80+'La Cruz'!L80+'La Ligua'!L80+Limache!L80+Nogales!L80+Olmue!L80+Papudo!L80+Petorca!L80+Puchuncavi!L80+Quillota!L80+Quilpue!L80+Quintero!L80+'Villa Alemana'!L80+'Viña del Mar'!L80+Zapallar!L80</f>
        <v>0</v>
      </c>
      <c r="M82" s="206">
        <f>+Cabildo!M80+'La Calera'!M80+Concón!M80+Hijuelas!M80+'La Cruz'!M80+'La Ligua'!M80+Limache!M80+Nogales!M80+Olmue!M80+Papudo!M80+Petorca!M80+Puchuncavi!M80+Quillota!M80+Quilpue!M80+Quintero!M80+'Villa Alemana'!M80+'Viña del Mar'!M80+Zapallar!M80</f>
        <v>0</v>
      </c>
      <c r="N82" s="206">
        <f>+Cabildo!N80+'La Calera'!N80+Concón!N80+Hijuelas!N80+'La Cruz'!N80+'La Ligua'!N80+Limache!N80+Nogales!N80+Olmue!N80+Papudo!N80+Petorca!N80+Puchuncavi!N80+Quillota!N80+Quilpue!N80+Quintero!N80+'Villa Alemana'!N80+'Viña del Mar'!N80+Zapallar!N80</f>
        <v>0</v>
      </c>
      <c r="O82" s="560">
        <f>+Cabildo!O80+'La Calera'!O80+Concón!O80+Hijuelas!O80+'La Cruz'!O80+'La Ligua'!O80+Limache!O80+Nogales!O80+Olmue!O80+Papudo!O80+Petorca!O80+Puchuncavi!O80+Quillota!O80+Quilpue!O80+Quintero!O80+'Villa Alemana'!O80+'Viña del Mar'!O80+Zapallar!O80</f>
        <v>72792300</v>
      </c>
      <c r="P82" s="206">
        <f>+Cabildo!P80+'La Calera'!P80+Concón!P80+Hijuelas!P80+'La Cruz'!P80+'La Ligua'!P80+Limache!P80+Nogales!P80+Olmue!P80+Papudo!P80+Petorca!P80+Puchuncavi!P80+Quillota!P80+Quilpue!P80+Quintero!P80+'Villa Alemana'!P80+'Viña del Mar'!P80+Zapallar!P80</f>
        <v>0</v>
      </c>
      <c r="Q82" s="206">
        <f>+Cabildo!Q80+'La Calera'!Q80+Concón!Q80+Hijuelas!Q80+'La Cruz'!Q80+'La Ligua'!Q80+Limache!Q80+Nogales!Q80+Olmue!Q80+Papudo!Q80+Petorca!Q80+Puchuncavi!Q80+Quillota!Q80+Quilpue!Q80+Quintero!Q80+'Villa Alemana'!Q80+'Viña del Mar'!Q80+Zapallar!Q80</f>
        <v>0</v>
      </c>
      <c r="R82" s="206">
        <f>+Cabildo!R80+'La Calera'!R80+Concón!R80+Hijuelas!R80+'La Cruz'!R80+'La Ligua'!R80+Limache!R80+Nogales!R80+Olmue!R80+Papudo!R80+Petorca!R80+Puchuncavi!R80+Quillota!R80+Quilpue!R80+Quintero!R80+'Villa Alemana'!R80+'Viña del Mar'!R80+Zapallar!R80</f>
        <v>0</v>
      </c>
      <c r="S82" s="206">
        <f>+Cabildo!S80+'La Calera'!S80+Concón!S80+Hijuelas!S80+'La Cruz'!S80+'La Ligua'!S80+Limache!S80+Nogales!S80+Olmue!S80+Papudo!S80+Petorca!S80+Puchuncavi!S80+Quillota!S80+Quilpue!S80+Quintero!S80+'Villa Alemana'!S80+'Viña del Mar'!S80+Zapallar!S80</f>
        <v>0</v>
      </c>
      <c r="T82" s="227">
        <f>+Cabildo!T80+'La Calera'!T80+Concón!T80+Hijuelas!T80+'La Cruz'!T80+'La Ligua'!T80+Limache!T80+Nogales!T80+Olmue!T80+Papudo!T80+Petorca!T80+Puchuncavi!T80+Quillota!T80+Quilpue!T80+Quintero!T80+'Villa Alemana'!T80+'Viña del Mar'!T80+Zapallar!T80</f>
        <v>0</v>
      </c>
      <c r="U82" s="235">
        <f>+Cabildo!U80+'La Calera'!U80+Concón!U80+Hijuelas!U80+'La Cruz'!U80+'La Ligua'!U80+Limache!U80+Nogales!U80+Olmue!U80+Papudo!U80+Petorca!U80+Puchuncavi!U80+Quillota!U80+Quilpue!U80+Quintero!U80+'Villa Alemana'!U80+'Viña del Mar'!U80+Zapallar!U80</f>
        <v>0</v>
      </c>
      <c r="V82" s="206">
        <f>+Cabildo!V80+'La Calera'!V80+Concón!V80+Hijuelas!V80+'La Cruz'!V80+'La Ligua'!V80+Limache!V80+Nogales!V80+Olmue!V80+Papudo!V80+Petorca!V80+Puchuncavi!V80+Quillota!V80+Quilpue!V80+Quintero!V80+'Villa Alemana'!V80+'Viña del Mar'!V80+Zapallar!V80</f>
        <v>0</v>
      </c>
      <c r="W82" s="206">
        <f>+Cabildo!W80+'La Calera'!W80+Concón!W80+Hijuelas!W80+'La Cruz'!W80+'La Ligua'!W80+Limache!W80+Nogales!W80+Olmue!W80+Papudo!W80+Petorca!W80+Puchuncavi!W80+Quillota!W80+Quilpue!W80+Quintero!W80+'Villa Alemana'!W80+'Viña del Mar'!W80+Zapallar!W80</f>
        <v>64761045</v>
      </c>
      <c r="X82" s="206">
        <f>+Cabildo!X80+'La Calera'!X80+Concón!X80+Hijuelas!X80+'La Cruz'!X80+'La Ligua'!X80+Limache!X80+Nogales!X80+Olmue!X80+Papudo!X80+Petorca!X80+Puchuncavi!X80+Quillota!X80+Quilpue!X80+Quintero!X80+'Villa Alemana'!X80+'Viña del Mar'!X80+Zapallar!X80</f>
        <v>0</v>
      </c>
      <c r="Y82" s="206">
        <f>+Cabildo!Y80+'La Calera'!Y80+Concón!Y80+Hijuelas!Y80+'La Cruz'!Y80+'La Ligua'!Y80+Limache!Y80+Nogales!Y80+Olmue!Y80+Papudo!Y80+Petorca!Y80+Puchuncavi!Y80+Quillota!Y80+Quilpue!Y80+Quintero!Y80+'Villa Alemana'!Y80+'Viña del Mar'!Y80+Zapallar!Y80</f>
        <v>0</v>
      </c>
      <c r="Z82" s="206">
        <f>+Cabildo!Z80+'La Calera'!Z80+Concón!Z80+Hijuelas!Z80+'La Cruz'!Z80+'La Ligua'!Z80+Limache!Z80+Nogales!Z80+Olmue!Z80+Papudo!Z80+Petorca!Z80+Puchuncavi!Z80+Quillota!Z80+Quilpue!Z80+Quintero!Z80+'Villa Alemana'!Z80+'Viña del Mar'!Z80+Zapallar!Z80</f>
        <v>0</v>
      </c>
      <c r="AA82" s="206">
        <f>+Cabildo!AA80+'La Calera'!AA80+Concón!AA80+Hijuelas!AA80+'La Cruz'!AA80+'La Ligua'!AA80+Limache!AA80+Nogales!AA80+Olmue!AA80+Papudo!AA80+Petorca!AA80+Puchuncavi!AA80+Quillota!AA80+Quilpue!AA80+Quintero!AA80+'Villa Alemana'!AA80+'Viña del Mar'!AA80+Zapallar!AA80</f>
        <v>72792300</v>
      </c>
      <c r="AB82" s="206">
        <f>+Cabildo!AB80+'La Calera'!AB80+Concón!AB80+Hijuelas!AB80+'La Cruz'!AB80+'La Ligua'!AB80+Limache!AB80+Nogales!AB80+Olmue!AB80+Papudo!AB80+Petorca!AB80+Puchuncavi!AB80+Quillota!AB80+Quilpue!AB80+Quintero!AB80+'Villa Alemana'!AB80+'Viña del Mar'!AB80+Zapallar!AB80</f>
        <v>0</v>
      </c>
      <c r="AC82" s="206">
        <f>+Cabildo!AC80+'La Calera'!AC80+Concón!AC80+Hijuelas!AC80+'La Cruz'!AC80+'La Ligua'!AC80+Limache!AC80+Nogales!AC80+Olmue!AC80+Papudo!AC80+Petorca!AC80+Puchuncavi!AC80+Quillota!AC80+Quilpue!AC80+Quintero!AC80+'Villa Alemana'!AC80+'Viña del Mar'!AC80+Zapallar!AC80</f>
        <v>0</v>
      </c>
      <c r="AD82" s="206">
        <f>+Cabildo!AD80+'La Calera'!AD80+Concón!AD80+Hijuelas!AD80+'La Cruz'!AD80+'La Ligua'!AD80+Limache!AD80+Nogales!AD80+Olmue!AD80+Papudo!AD80+Petorca!AD80+Puchuncavi!AD80+Quillota!AD80+Quilpue!AD80+Quintero!AD80+'Villa Alemana'!AD80+'Viña del Mar'!AD80+Zapallar!AD80</f>
        <v>0</v>
      </c>
      <c r="AE82" s="206">
        <f>+Cabildo!AE80+'La Calera'!AE80+Concón!AE80+Hijuelas!AE80+'La Cruz'!AE80+'La Ligua'!AE80+Limache!AE80+Nogales!AE80+Olmue!AE80+Papudo!AE80+Petorca!AE80+Puchuncavi!AE80+Quillota!AE80+Quilpue!AE80+Quintero!AE80+'Villa Alemana'!AE80+'Viña del Mar'!AE80+Zapallar!AE80</f>
        <v>19277850</v>
      </c>
      <c r="AF82" s="221">
        <f>+Cabildo!AF80+'La Calera'!AF80+Concón!AF80+Hijuelas!AF80+'La Cruz'!AF80+'La Ligua'!AF80+Limache!AF80+Nogales!AF80+Olmue!AF80+Papudo!AF80+Petorca!AF80+Puchuncavi!AF80+Quillota!AF80+Quilpue!AF80+Quintero!AF80+'Villa Alemana'!AF80+'Viña del Mar'!AF80+Zapallar!AF80</f>
        <v>0</v>
      </c>
      <c r="AG82" s="664">
        <f t="shared" si="9"/>
        <v>156831195</v>
      </c>
      <c r="AH82" s="431">
        <f t="shared" si="10"/>
        <v>-19277850</v>
      </c>
      <c r="AK82" s="235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27"/>
      <c r="AW82" s="228">
        <f t="shared" si="14"/>
        <v>0</v>
      </c>
      <c r="AX82" s="431">
        <f>+AG82-AW82</f>
        <v>156831195</v>
      </c>
    </row>
    <row r="83" spans="1:50" ht="15">
      <c r="A83" s="500"/>
      <c r="B83" s="52" t="s">
        <v>209</v>
      </c>
      <c r="C83" s="148"/>
      <c r="D83" s="21"/>
      <c r="E83" s="174"/>
      <c r="F83" s="175"/>
      <c r="G83" s="176">
        <f>+Q77+Q78+Q79</f>
        <v>225329377</v>
      </c>
      <c r="H83" s="324">
        <f t="shared" si="8"/>
        <v>344730533</v>
      </c>
      <c r="I83" s="252">
        <f>+Cabildo!I81+'La Calera'!I81+Concón!I81+Hijuelas!I81+'La Cruz'!I81+'La Ligua'!I81+Limache!I81+Nogales!I81+Olmue!I81+Papudo!I81+Petorca!I81+Puchuncavi!I81+Quillota!I81+Quilpue!I81+Quintero!I81+'Villa Alemana'!I81+'Viña del Mar'!I81+Zapallar!I81</f>
        <v>0</v>
      </c>
      <c r="J83" s="206">
        <f>+Cabildo!J81+'La Calera'!J81+Concón!J81+Hijuelas!J81+'La Cruz'!J81+'La Ligua'!J81+Limache!J81+Nogales!J81+Olmue!J81+Papudo!J81+Petorca!J81+Puchuncavi!J81+Quillota!J81+Quilpue!J81+Quintero!J81+'Villa Alemana'!J81+'Viña del Mar'!J81+Zapallar!J81</f>
        <v>0</v>
      </c>
      <c r="K83" s="206">
        <f>+Cabildo!K81+'La Calera'!K81+Concón!K81+Hijuelas!K81+'La Cruz'!K81+'La Ligua'!K81+Limache!K81+Nogales!K81+Olmue!K81+Papudo!K81+Petorca!K81+Puchuncavi!K81+Quillota!K81+Quilpue!K81+Quintero!K81+'Villa Alemana'!K81+'Viña del Mar'!K81+Zapallar!K81</f>
        <v>0</v>
      </c>
      <c r="L83" s="206">
        <f>+Cabildo!L81+'La Calera'!L81+Concón!L81+Hijuelas!L81+'La Cruz'!L81+'La Ligua'!L81+Limache!L81+Nogales!L81+Olmue!L81+Papudo!L81+Petorca!L81+Puchuncavi!L81+Quillota!L81+Quilpue!L81+Quintero!L81+'Villa Alemana'!L81+'Viña del Mar'!L81+Zapallar!L81</f>
        <v>0</v>
      </c>
      <c r="M83" s="206">
        <f>+Cabildo!M81+'La Calera'!M81+Concón!M81+Hijuelas!M81+'La Cruz'!M81+'La Ligua'!M81+Limache!M81+Nogales!M81+Olmue!M81+Papudo!M81+Petorca!M81+Puchuncavi!M81+Quillota!M81+Quilpue!M81+Quintero!M81+'Villa Alemana'!M81+'Viña del Mar'!M81+Zapallar!M81</f>
        <v>0</v>
      </c>
      <c r="N83" s="206">
        <f>+Cabildo!N81+'La Calera'!N81+Concón!N81+Hijuelas!N81+'La Cruz'!N81+'La Ligua'!N81+Limache!N81+Nogales!N81+Olmue!N81+Papudo!N81+Petorca!N81+Puchuncavi!N81+Quillota!N81+Quilpue!N81+Quintero!N81+'Villa Alemana'!N81+'Viña del Mar'!N81+Zapallar!N81</f>
        <v>0</v>
      </c>
      <c r="O83" s="206">
        <f>+Cabildo!O81+'La Calera'!O81+Concón!O81+Hijuelas!O81+'La Cruz'!O81+'La Ligua'!O81+Limache!O81+Nogales!O81+Olmue!O81+Papudo!O81+Petorca!O81+Puchuncavi!O81+Quillota!O81+Quilpue!O81+Quintero!O81+'Villa Alemana'!O81+'Viña del Mar'!O81+Zapallar!O81</f>
        <v>0</v>
      </c>
      <c r="P83" s="206">
        <f>+Cabildo!P81+'La Calera'!P81+Concón!P81+Hijuelas!P81+'La Cruz'!P81+'La Ligua'!P81+Limache!P81+Nogales!P81+Olmue!P81+Papudo!P81+Petorca!P81+Puchuncavi!P81+Quillota!P81+Quilpue!P81+Quintero!P81+'Villa Alemana'!P81+'Viña del Mar'!P81+Zapallar!P81</f>
        <v>0</v>
      </c>
      <c r="Q83" s="206">
        <f>+Cabildo!Q81+'La Calera'!Q81+Concón!Q81+Hijuelas!Q81+'La Cruz'!Q81+'La Ligua'!Q81+Limache!Q81+Nogales!Q81+Olmue!Q81+Papudo!Q81+Petorca!Q81+Puchuncavi!Q81+Quillota!Q81+Quilpue!Q81+Quintero!Q81+'Villa Alemana'!Q81+'Viña del Mar'!Q81+Zapallar!Q81</f>
        <v>0</v>
      </c>
      <c r="R83" s="560">
        <f>+Cabildo!R81+'La Calera'!R81+Concón!R81+Hijuelas!R81+'La Cruz'!R81+'La Ligua'!R81+Limache!R81+Nogales!R81+Olmue!R81+Papudo!R81+Petorca!R81+Puchuncavi!R81+Quillota!R81+Quilpue!R81+Quintero!R81+'Villa Alemana'!R81+'Viña del Mar'!R81+Zapallar!R81</f>
        <v>138653120</v>
      </c>
      <c r="S83" s="560">
        <f>+Cabildo!S81+'La Calera'!S81+Concón!S81+Hijuelas!S81+'La Cruz'!S81+'La Ligua'!S81+Limache!S81+Nogales!S81+Olmue!S81+Papudo!S81+Petorca!S81+Puchuncavi!S81+Quillota!S81+Quilpue!S81+Quintero!S81+'Villa Alemana'!S81+'Viña del Mar'!S81+Zapallar!S81</f>
        <v>206077413</v>
      </c>
      <c r="T83" s="227">
        <f>+Cabildo!T81+'La Calera'!T81+Concón!T81+Hijuelas!T81+'La Cruz'!T81+'La Ligua'!T81+Limache!T81+Nogales!T81+Olmue!T81+Papudo!T81+Petorca!T81+Puchuncavi!T81+Quillota!T81+Quilpue!T81+Quintero!T81+'Villa Alemana'!T81+'Viña del Mar'!T81+Zapallar!T81</f>
        <v>0</v>
      </c>
      <c r="U83" s="235">
        <f>+Cabildo!U81+'La Calera'!U81+Concón!U81+Hijuelas!U81+'La Cruz'!U81+'La Ligua'!U81+Limache!U81+Nogales!U81+Olmue!U81+Papudo!U81+Petorca!U81+Puchuncavi!U81+Quillota!U81+Quilpue!U81+Quintero!U81+'Villa Alemana'!U81+'Viña del Mar'!U81+Zapallar!U81</f>
        <v>0</v>
      </c>
      <c r="V83" s="206">
        <f>+Cabildo!V81+'La Calera'!V81+Concón!V81+Hijuelas!V81+'La Cruz'!V81+'La Ligua'!V81+Limache!V81+Nogales!V81+Olmue!V81+Papudo!V81+Petorca!V81+Puchuncavi!V81+Quillota!V81+Quilpue!V81+Quintero!V81+'Villa Alemana'!V81+'Viña del Mar'!V81+Zapallar!V81</f>
        <v>0</v>
      </c>
      <c r="W83" s="206">
        <f>+Cabildo!W81+'La Calera'!W81+Concón!W81+Hijuelas!W81+'La Cruz'!W81+'La Ligua'!W81+Limache!W81+Nogales!W81+Olmue!W81+Papudo!W81+Petorca!W81+Puchuncavi!W81+Quillota!W81+Quilpue!W81+Quintero!W81+'Villa Alemana'!W81+'Viña del Mar'!W81+Zapallar!W81</f>
        <v>0</v>
      </c>
      <c r="X83" s="206">
        <f>+Cabildo!X81+'La Calera'!X81+Concón!X81+Hijuelas!X81+'La Cruz'!X81+'La Ligua'!X81+Limache!X81+Nogales!X81+Olmue!X81+Papudo!X81+Petorca!X81+Puchuncavi!X81+Quillota!X81+Quilpue!X81+Quintero!X81+'Villa Alemana'!X81+'Viña del Mar'!X81+Zapallar!X81</f>
        <v>0</v>
      </c>
      <c r="Y83" s="206">
        <f>+Cabildo!Y81+'La Calera'!Y81+Concón!Y81+Hijuelas!Y81+'La Cruz'!Y81+'La Ligua'!Y81+Limache!Y81+Nogales!Y81+Olmue!Y81+Papudo!Y81+Petorca!Y81+Puchuncavi!Y81+Quillota!Y81+Quilpue!Y81+Quintero!Y81+'Villa Alemana'!Y81+'Viña del Mar'!Y81+Zapallar!Y81</f>
        <v>0</v>
      </c>
      <c r="Z83" s="206">
        <f>+Cabildo!Z81+'La Calera'!Z81+Concón!Z81+Hijuelas!Z81+'La Cruz'!Z81+'La Ligua'!Z81+Limache!Z81+Nogales!Z81+Olmue!Z81+Papudo!Z81+Petorca!Z81+Puchuncavi!Z81+Quillota!Z81+Quilpue!Z81+Quintero!Z81+'Villa Alemana'!Z81+'Viña del Mar'!Z81+Zapallar!Z81</f>
        <v>0</v>
      </c>
      <c r="AA83" s="206">
        <f>+Cabildo!AA81+'La Calera'!AA81+Concón!AA81+Hijuelas!AA81+'La Cruz'!AA81+'La Ligua'!AA81+Limache!AA81+Nogales!AA81+Olmue!AA81+Papudo!AA81+Petorca!AA81+Puchuncavi!AA81+Quillota!AA81+Quilpue!AA81+Quintero!AA81+'Villa Alemana'!AA81+'Viña del Mar'!AA81+Zapallar!AA81</f>
        <v>0</v>
      </c>
      <c r="AB83" s="206">
        <f>+Cabildo!AB81+'La Calera'!AB81+Concón!AB81+Hijuelas!AB81+'La Cruz'!AB81+'La Ligua'!AB81+Limache!AB81+Nogales!AB81+Olmue!AB81+Papudo!AB81+Petorca!AB81+Puchuncavi!AB81+Quillota!AB81+Quilpue!AB81+Quintero!AB81+'Villa Alemana'!AB81+'Viña del Mar'!AB81+Zapallar!AB81</f>
        <v>0</v>
      </c>
      <c r="AC83" s="206">
        <f>+Cabildo!AC81+'La Calera'!AC81+Concón!AC81+Hijuelas!AC81+'La Cruz'!AC81+'La Ligua'!AC81+Limache!AC81+Nogales!AC81+Olmue!AC81+Papudo!AC81+Petorca!AC81+Puchuncavi!AC81+Quillota!AC81+Quilpue!AC81+Quintero!AC81+'Villa Alemana'!AC81+'Viña del Mar'!AC81+Zapallar!AC81</f>
        <v>0</v>
      </c>
      <c r="AD83" s="206">
        <f>+Cabildo!AD81+'La Calera'!AD81+Concón!AD81+Hijuelas!AD81+'La Cruz'!AD81+'La Ligua'!AD81+Limache!AD81+Nogales!AD81+Olmue!AD81+Papudo!AD81+Petorca!AD81+Puchuncavi!AD81+Quillota!AD81+Quilpue!AD81+Quintero!AD81+'Villa Alemana'!AD81+'Viña del Mar'!AD81+Zapallar!AD81</f>
        <v>327836603</v>
      </c>
      <c r="AE83" s="206">
        <f>+Cabildo!AE81+'La Calera'!AE81+Concón!AE81+Hijuelas!AE81+'La Cruz'!AE81+'La Ligua'!AE81+Limache!AE81+Nogales!AE81+Olmue!AE81+Papudo!AE81+Petorca!AE81+Puchuncavi!AE81+Quillota!AE81+Quilpue!AE81+Quintero!AE81+'Villa Alemana'!AE81+'Viña del Mar'!AE81+Zapallar!AE81</f>
        <v>0</v>
      </c>
      <c r="AF83" s="221">
        <f>+Cabildo!AF81+'La Calera'!AF81+Concón!AF81+Hijuelas!AF81+'La Cruz'!AF81+'La Ligua'!AF81+Limache!AF81+Nogales!AF81+Olmue!AF81+Papudo!AF81+Petorca!AF81+Puchuncavi!AF81+Quillota!AF81+Quilpue!AF81+Quintero!AF81+'Villa Alemana'!AF81+'Viña del Mar'!AF81+Zapallar!AF81</f>
        <v>0</v>
      </c>
      <c r="AG83" s="664">
        <f t="shared" si="9"/>
        <v>327836603</v>
      </c>
      <c r="AH83" s="431">
        <f t="shared" si="10"/>
        <v>16893930</v>
      </c>
      <c r="AK83" s="235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27"/>
      <c r="AW83" s="228">
        <f t="shared" si="14"/>
        <v>0</v>
      </c>
      <c r="AX83" s="431">
        <f>+AG83-AW83</f>
        <v>327836603</v>
      </c>
    </row>
    <row r="84" spans="1:50" ht="15.75" thickBot="1">
      <c r="A84" s="145"/>
      <c r="B84" s="52"/>
      <c r="C84" s="148"/>
      <c r="D84" s="21">
        <f>+Cabildo!D82+'La Calera'!D82+Concón!D82+Hijuelas!D82+'La Cruz'!D82+'La Ligua'!D82+Limache!D82+Nogales!D82+Olmue!D82+Papudo!D82+Petorca!D82+Puchuncavi!D82+Quillota!D82+Quilpue!D82+Quintero!D82+'Villa Alemana'!D82+'Viña del Mar'!D82+Zapallar!D82</f>
        <v>0</v>
      </c>
      <c r="E84" s="174"/>
      <c r="F84" s="175"/>
      <c r="G84" s="176"/>
      <c r="H84" s="537">
        <f t="shared" si="8"/>
        <v>353698</v>
      </c>
      <c r="I84" s="536">
        <f>+Cabildo!I82+'La Calera'!I82+Concón!I82+Hijuelas!I82+'La Cruz'!I82+'La Ligua'!I82+Limache!I82+Nogales!I82+Olmue!I82+Papudo!I82+Petorca!I82+Puchuncavi!I82+Quillota!I82+Quilpue!I82+Quintero!I82+'Villa Alemana'!I82+'Viña del Mar'!I82+Zapallar!I82</f>
        <v>0</v>
      </c>
      <c r="J84" s="214">
        <f>+Cabildo!J82+'La Calera'!J82+Concón!J82+Hijuelas!J82+'La Cruz'!J82+'La Ligua'!J82+Limache!J82+Nogales!J82+Olmue!J82+Papudo!J82+Petorca!J82+Puchuncavi!J82+Quillota!J82+Quilpue!J82+Quintero!J82+'Villa Alemana'!J82+'Viña del Mar'!J82+Zapallar!J82</f>
        <v>0</v>
      </c>
      <c r="K84" s="214">
        <f>+Cabildo!K82+'La Calera'!K82+Concón!K82+Hijuelas!K82+'La Cruz'!K82+'La Ligua'!K82+Limache!K82+Nogales!K82+Olmue!K82+Papudo!K82+Petorca!K82+Puchuncavi!K82+Quillota!K82+Quilpue!K82+Quintero!K82+'Villa Alemana'!K82+'Viña del Mar'!K82+Zapallar!K82</f>
        <v>353698</v>
      </c>
      <c r="L84" s="214">
        <f>+Cabildo!L82+'La Calera'!L82+Concón!L82+Hijuelas!L82+'La Cruz'!L82+'La Ligua'!L82+Limache!L82+Nogales!L82+Olmue!L82+Papudo!L82+Petorca!L82+Puchuncavi!L82+Quillota!L82+Quilpue!L82+Quintero!L82+'Villa Alemana'!L82+'Viña del Mar'!L82+Zapallar!L82</f>
        <v>0</v>
      </c>
      <c r="M84" s="214">
        <f>+Cabildo!M82+'La Calera'!M82+Concón!M82+Hijuelas!M82+'La Cruz'!M82+'La Ligua'!M82+Limache!M82+Nogales!M82+Olmue!M82+Papudo!M82+Petorca!M82+Puchuncavi!M82+Quillota!M82+Quilpue!M82+Quintero!M82+'Villa Alemana'!M82+'Viña del Mar'!M82+Zapallar!M82</f>
        <v>0</v>
      </c>
      <c r="N84" s="214">
        <f>+Cabildo!N82+'La Calera'!N82+Concón!N82+Hijuelas!N82+'La Cruz'!N82+'La Ligua'!N82+Limache!N82+Nogales!N82+Olmue!N82+Papudo!N82+Petorca!N82+Puchuncavi!N82+Quillota!N82+Quilpue!N82+Quintero!N82+'Villa Alemana'!N82+'Viña del Mar'!N82+Zapallar!N82</f>
        <v>0</v>
      </c>
      <c r="O84" s="214">
        <f>+Cabildo!O82+'La Calera'!O82+Concón!O82+Hijuelas!O82+'La Cruz'!O82+'La Ligua'!O82+Limache!O82+Nogales!O82+Olmue!O82+Papudo!O82+Petorca!O82+Puchuncavi!O82+Quillota!O82+Quilpue!O82+Quintero!O82+'Villa Alemana'!O82+'Viña del Mar'!O82+Zapallar!O82</f>
        <v>0</v>
      </c>
      <c r="P84" s="214">
        <f>+Cabildo!P82+'La Calera'!P82+Concón!P82+Hijuelas!P82+'La Cruz'!P82+'La Ligua'!P82+Limache!P82+Nogales!P82+Olmue!P82+Papudo!P82+Petorca!P82+Puchuncavi!P82+Quillota!P82+Quilpue!P82+Quintero!P82+'Villa Alemana'!P82+'Viña del Mar'!P82+Zapallar!P82</f>
        <v>0</v>
      </c>
      <c r="Q84" s="214">
        <f>+Cabildo!Q82+'La Calera'!Q82+Concón!Q82+Hijuelas!Q82+'La Cruz'!Q82+'La Ligua'!Q82+Limache!Q82+Nogales!Q82+Olmue!Q82+Papudo!Q82+Petorca!Q82+Puchuncavi!Q82+Quillota!Q82+Quilpue!Q82+Quintero!Q82+'Villa Alemana'!Q82+'Viña del Mar'!Q82+Zapallar!Q82</f>
        <v>0</v>
      </c>
      <c r="R84" s="206">
        <f>+Cabildo!R82+'La Calera'!R82+Concón!R82+Hijuelas!R82+'La Cruz'!R82+'La Ligua'!R82+Limache!R82+Nogales!R82+Olmue!R82+Papudo!R82+Petorca!R82+Puchuncavi!R82+Quillota!R82+Quilpue!R82+Quintero!R82+'Villa Alemana'!R82+'Viña del Mar'!R82+Zapallar!R82</f>
        <v>0</v>
      </c>
      <c r="S84" s="214">
        <f>+Cabildo!S82+'La Calera'!S82+Concón!S82+Hijuelas!S82+'La Cruz'!S82+'La Ligua'!S82+Limache!S82+Nogales!S82+Olmue!S82+Papudo!S82+Petorca!S82+Puchuncavi!S82+Quillota!S82+Quilpue!S82+Quintero!S82+'Villa Alemana'!S82+'Viña del Mar'!S82+Zapallar!S82</f>
        <v>0</v>
      </c>
      <c r="T84" s="296">
        <f>+Cabildo!T82+'La Calera'!T82+Concón!T82+Hijuelas!T82+'La Cruz'!T82+'La Ligua'!T82+Limache!T82+Nogales!T82+Olmue!T82+Papudo!T82+Petorca!T82+Puchuncavi!T82+Quillota!T82+Quilpue!T82+Quintero!T82+'Villa Alemana'!T82+'Viña del Mar'!T82+Zapallar!T82</f>
        <v>0</v>
      </c>
      <c r="U84" s="240">
        <f>+Cabildo!U82+'La Calera'!U82+Concón!U82+Hijuelas!U82+'La Cruz'!U82+'La Ligua'!U82+Limache!U82+Nogales!U82+Olmue!U82+Papudo!U82+Petorca!U82+Puchuncavi!U82+Quillota!U82+Quilpue!U82+Quintero!U82+'Villa Alemana'!U82+'Viña del Mar'!U82+Zapallar!U82</f>
        <v>0</v>
      </c>
      <c r="V84" s="214">
        <f>+Cabildo!V82+'La Calera'!V82+Concón!V82+Hijuelas!V82+'La Cruz'!V82+'La Ligua'!V82+Limache!V82+Nogales!V82+Olmue!V82+Papudo!V82+Petorca!V82+Puchuncavi!V82+Quillota!V82+Quilpue!V82+Quintero!V82+'Villa Alemana'!V82+'Viña del Mar'!V82+Zapallar!V82</f>
        <v>0</v>
      </c>
      <c r="W84" s="214">
        <f>+Cabildo!W82+'La Calera'!W82+Concón!W82+Hijuelas!W82+'La Cruz'!W82+'La Ligua'!W82+Limache!W82+Nogales!W82+Olmue!W82+Papudo!W82+Petorca!W82+Puchuncavi!W82+Quillota!W82+Quilpue!W82+Quintero!W82+'Villa Alemana'!W82+'Viña del Mar'!W82+Zapallar!W82</f>
        <v>353698</v>
      </c>
      <c r="X84" s="214">
        <f>+Cabildo!X82+'La Calera'!X82+Concón!X82+Hijuelas!X82+'La Cruz'!X82+'La Ligua'!X82+Limache!X82+Nogales!X82+Olmue!X82+Papudo!X82+Petorca!X82+Puchuncavi!X82+Quillota!X82+Quilpue!X82+Quintero!X82+'Villa Alemana'!X82+'Viña del Mar'!X82+Zapallar!X82</f>
        <v>0</v>
      </c>
      <c r="Y84" s="214">
        <f>+Cabildo!Y82+'La Calera'!Y82+Concón!Y82+Hijuelas!Y82+'La Cruz'!Y82+'La Ligua'!Y82+Limache!Y82+Nogales!Y82+Olmue!Y82+Papudo!Y82+Petorca!Y82+Puchuncavi!Y82+Quillota!Y82+Quilpue!Y82+Quintero!Y82+'Villa Alemana'!Y82+'Viña del Mar'!Y82+Zapallar!Y82</f>
        <v>0</v>
      </c>
      <c r="Z84" s="214">
        <f>+Cabildo!Z82+'La Calera'!Z82+Concón!Z82+Hijuelas!Z82+'La Cruz'!Z82+'La Ligua'!Z82+Limache!Z82+Nogales!Z82+Olmue!Z82+Papudo!Z82+Petorca!Z82+Puchuncavi!Z82+Quillota!Z82+Quilpue!Z82+Quintero!Z82+'Villa Alemana'!Z82+'Viña del Mar'!Z82+Zapallar!Z82</f>
        <v>0</v>
      </c>
      <c r="AA84" s="214">
        <f>+Cabildo!AA82+'La Calera'!AA82+Concón!AA82+Hijuelas!AA82+'La Cruz'!AA82+'La Ligua'!AA82+Limache!AA82+Nogales!AA82+Olmue!AA82+Papudo!AA82+Petorca!AA82+Puchuncavi!AA82+Quillota!AA82+Quilpue!AA82+Quintero!AA82+'Villa Alemana'!AA82+'Viña del Mar'!AA82+Zapallar!AA82</f>
        <v>0</v>
      </c>
      <c r="AB84" s="214">
        <f>+Cabildo!AB82+'La Calera'!AB82+Concón!AB82+Hijuelas!AB82+'La Cruz'!AB82+'La Ligua'!AB82+Limache!AB82+Nogales!AB82+Olmue!AB82+Papudo!AB82+Petorca!AB82+Puchuncavi!AB82+Quillota!AB82+Quilpue!AB82+Quintero!AB82+'Villa Alemana'!AB82+'Viña del Mar'!AB82+Zapallar!AB82</f>
        <v>0</v>
      </c>
      <c r="AC84" s="214">
        <f>+Cabildo!AC82+'La Calera'!AC82+Concón!AC82+Hijuelas!AC82+'La Cruz'!AC82+'La Ligua'!AC82+Limache!AC82+Nogales!AC82+Olmue!AC82+Papudo!AC82+Petorca!AC82+Puchuncavi!AC82+Quillota!AC82+Quilpue!AC82+Quintero!AC82+'Villa Alemana'!AC82+'Viña del Mar'!AC82+Zapallar!AC82</f>
        <v>0</v>
      </c>
      <c r="AD84" s="214">
        <f>+Cabildo!AD82+'La Calera'!AD82+Concón!AD82+Hijuelas!AD82+'La Cruz'!AD82+'La Ligua'!AD82+Limache!AD82+Nogales!AD82+Olmue!AD82+Papudo!AD82+Petorca!AD82+Puchuncavi!AD82+Quillota!AD82+Quilpue!AD82+Quintero!AD82+'Villa Alemana'!AD82+'Viña del Mar'!AD82+Zapallar!AD82</f>
        <v>0</v>
      </c>
      <c r="AE84" s="214">
        <f>+Cabildo!AE82+'La Calera'!AE82+Concón!AE82+Hijuelas!AE82+'La Cruz'!AE82+'La Ligua'!AE82+Limache!AE82+Nogales!AE82+Olmue!AE82+Papudo!AE82+Petorca!AE82+Puchuncavi!AE82+Quillota!AE82+Quilpue!AE82+Quintero!AE82+'Villa Alemana'!AE82+'Viña del Mar'!AE82+Zapallar!AE82</f>
        <v>0</v>
      </c>
      <c r="AF84" s="530">
        <f>+Cabildo!AF82+'La Calera'!AF82+Concón!AF82+Hijuelas!AF82+'La Cruz'!AF82+'La Ligua'!AF82+Limache!AF82+Nogales!AF82+Olmue!AF82+Papudo!AF82+Petorca!AF82+Puchuncavi!AF82+Quillota!AF82+Quilpue!AF82+Quintero!AF82+'Villa Alemana'!AF82+'Viña del Mar'!AF82+Zapallar!AF82</f>
        <v>0</v>
      </c>
      <c r="AG84" s="665">
        <f t="shared" si="9"/>
        <v>353698</v>
      </c>
      <c r="AH84" s="535">
        <f t="shared" si="10"/>
        <v>0</v>
      </c>
      <c r="AK84" s="235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27"/>
      <c r="AW84" s="228">
        <f t="shared" si="14"/>
        <v>0</v>
      </c>
      <c r="AX84" s="431">
        <f>+AG84-AW84</f>
        <v>353698</v>
      </c>
    </row>
    <row r="85" spans="1:50" ht="15.75" thickBot="1">
      <c r="A85" s="764" t="s">
        <v>93</v>
      </c>
      <c r="B85" s="765"/>
      <c r="C85" s="766"/>
      <c r="D85" s="85">
        <f>SUM(D36:D82)</f>
        <v>21184823586</v>
      </c>
      <c r="E85" s="86"/>
      <c r="F85" s="87"/>
      <c r="G85" s="88"/>
      <c r="H85" s="348">
        <f t="shared" ref="H85:AG85" si="15">SUM(H36:H84)</f>
        <v>20897707744.035271</v>
      </c>
      <c r="I85" s="531">
        <f t="shared" si="15"/>
        <v>0</v>
      </c>
      <c r="J85" s="498">
        <f t="shared" si="15"/>
        <v>0</v>
      </c>
      <c r="K85" s="498">
        <f t="shared" si="15"/>
        <v>5910948260.0999994</v>
      </c>
      <c r="L85" s="498">
        <f t="shared" si="15"/>
        <v>3233594563.3000002</v>
      </c>
      <c r="M85" s="498">
        <f t="shared" si="15"/>
        <v>2476854010.4000001</v>
      </c>
      <c r="N85" s="498">
        <f t="shared" si="15"/>
        <v>494707025</v>
      </c>
      <c r="O85" s="498">
        <f>SUM(O36:O84)</f>
        <v>436956560.63527131</v>
      </c>
      <c r="P85" s="498">
        <f t="shared" si="15"/>
        <v>1431171674.4000001</v>
      </c>
      <c r="Q85" s="498">
        <f t="shared" si="15"/>
        <v>843805009</v>
      </c>
      <c r="R85" s="498">
        <f t="shared" si="15"/>
        <v>4266809154.4000001</v>
      </c>
      <c r="S85" s="498">
        <f t="shared" si="15"/>
        <v>1270561889</v>
      </c>
      <c r="T85" s="498">
        <f t="shared" si="15"/>
        <v>532299597.80000001</v>
      </c>
      <c r="U85" s="297">
        <f>SUM(U36:U84)</f>
        <v>0</v>
      </c>
      <c r="V85" s="297">
        <f t="shared" ref="V85:AF85" si="16">SUM(V36:V84)</f>
        <v>0</v>
      </c>
      <c r="W85" s="297">
        <f t="shared" si="16"/>
        <v>5906448238.5</v>
      </c>
      <c r="X85" s="297">
        <f t="shared" si="16"/>
        <v>3233251565.5</v>
      </c>
      <c r="Y85" s="297">
        <f t="shared" si="16"/>
        <v>2476854010.4000001</v>
      </c>
      <c r="Z85" s="297">
        <f t="shared" si="16"/>
        <v>191125807</v>
      </c>
      <c r="AA85" s="297">
        <f t="shared" si="16"/>
        <v>400188421</v>
      </c>
      <c r="AB85" s="297">
        <f t="shared" si="16"/>
        <v>1245248556.2</v>
      </c>
      <c r="AC85" s="297">
        <f t="shared" si="16"/>
        <v>903848202</v>
      </c>
      <c r="AD85" s="297">
        <f t="shared" si="16"/>
        <v>3938734832.4000001</v>
      </c>
      <c r="AE85" s="297">
        <f t="shared" si="16"/>
        <v>1302161192.9000001</v>
      </c>
      <c r="AF85" s="297">
        <f t="shared" si="16"/>
        <v>497532324.43000007</v>
      </c>
      <c r="AG85" s="297">
        <f t="shared" si="15"/>
        <v>20095393150.329998</v>
      </c>
      <c r="AH85" s="534">
        <f>+H85-AG85</f>
        <v>802314593.70527267</v>
      </c>
      <c r="AI85" s="207">
        <v>852351791</v>
      </c>
      <c r="AJ85" s="170">
        <f>+AI85-AH85</f>
        <v>50037197.294727325</v>
      </c>
      <c r="AK85" s="426">
        <f t="shared" ref="AK85:AX85" si="17">SUM(AK36:AK84)</f>
        <v>0</v>
      </c>
      <c r="AL85" s="426">
        <f t="shared" si="17"/>
        <v>0</v>
      </c>
      <c r="AM85" s="426">
        <f t="shared" si="17"/>
        <v>0</v>
      </c>
      <c r="AN85" s="426">
        <f t="shared" si="17"/>
        <v>0</v>
      </c>
      <c r="AO85" s="426">
        <f t="shared" si="17"/>
        <v>0</v>
      </c>
      <c r="AP85" s="426">
        <f t="shared" si="17"/>
        <v>0</v>
      </c>
      <c r="AQ85" s="426">
        <f t="shared" si="17"/>
        <v>0</v>
      </c>
      <c r="AR85" s="426">
        <f t="shared" si="17"/>
        <v>0</v>
      </c>
      <c r="AS85" s="426">
        <f t="shared" si="17"/>
        <v>0</v>
      </c>
      <c r="AT85" s="426">
        <f t="shared" si="17"/>
        <v>0</v>
      </c>
      <c r="AU85" s="426">
        <f t="shared" si="17"/>
        <v>0</v>
      </c>
      <c r="AV85" s="435">
        <f t="shared" si="17"/>
        <v>0</v>
      </c>
      <c r="AW85" s="449">
        <f t="shared" si="17"/>
        <v>0</v>
      </c>
      <c r="AX85" s="429">
        <f t="shared" si="17"/>
        <v>20095393150.329998</v>
      </c>
    </row>
    <row r="86" spans="1:50" ht="15" hidden="1" thickBot="1"/>
    <row r="87" spans="1:50" ht="15.75" thickBot="1">
      <c r="A87" s="761" t="s">
        <v>94</v>
      </c>
      <c r="B87" s="762"/>
      <c r="C87" s="763"/>
      <c r="D87" s="133">
        <f>+D85+D32</f>
        <v>95696379404</v>
      </c>
      <c r="E87" s="266"/>
      <c r="F87" s="267"/>
      <c r="G87" s="267"/>
      <c r="H87" s="242">
        <f>+H32+H85</f>
        <v>104199605936.76752</v>
      </c>
      <c r="I87" s="215">
        <f>+I85+I32</f>
        <v>6210153793</v>
      </c>
      <c r="J87" s="215">
        <f t="shared" ref="J87:T87" si="18">+J85+J32</f>
        <v>6209515532</v>
      </c>
      <c r="K87" s="215">
        <f t="shared" si="18"/>
        <v>12121161416.609919</v>
      </c>
      <c r="L87" s="215">
        <f t="shared" si="18"/>
        <v>11249353329.299999</v>
      </c>
      <c r="M87" s="215">
        <f t="shared" si="18"/>
        <v>8687125641.3999996</v>
      </c>
      <c r="N87" s="215">
        <f t="shared" si="18"/>
        <v>8480760491</v>
      </c>
      <c r="O87" s="215">
        <f t="shared" si="18"/>
        <v>7471593329.6352711</v>
      </c>
      <c r="P87" s="215">
        <f t="shared" si="18"/>
        <v>7995038298.3999996</v>
      </c>
      <c r="Q87" s="215">
        <f t="shared" si="18"/>
        <v>9266915219.3333321</v>
      </c>
      <c r="R87" s="215">
        <f t="shared" si="18"/>
        <v>10513649287.4</v>
      </c>
      <c r="S87" s="215">
        <f t="shared" si="18"/>
        <v>7494400156</v>
      </c>
      <c r="T87" s="215">
        <f t="shared" si="18"/>
        <v>8499939442.6890001</v>
      </c>
      <c r="U87" s="242">
        <f>+U85+U32</f>
        <v>6210153793</v>
      </c>
      <c r="V87" s="242">
        <f t="shared" ref="V87:AF87" si="19">+V85+V32</f>
        <v>6209515532</v>
      </c>
      <c r="W87" s="242">
        <f t="shared" si="19"/>
        <v>12116661394.5</v>
      </c>
      <c r="X87" s="242">
        <f t="shared" si="19"/>
        <v>11247530596.5</v>
      </c>
      <c r="Y87" s="242">
        <f t="shared" si="19"/>
        <v>8685645906.3999996</v>
      </c>
      <c r="Z87" s="242">
        <f t="shared" si="19"/>
        <v>8175699538</v>
      </c>
      <c r="AA87" s="242">
        <f t="shared" si="19"/>
        <v>7433345455</v>
      </c>
      <c r="AB87" s="242">
        <f t="shared" si="19"/>
        <v>7807635445.1999998</v>
      </c>
      <c r="AC87" s="242">
        <f t="shared" si="19"/>
        <v>9325478677.3333321</v>
      </c>
      <c r="AD87" s="242">
        <f t="shared" si="19"/>
        <v>10184095230.4</v>
      </c>
      <c r="AE87" s="242">
        <f t="shared" si="19"/>
        <v>7498782414.8999996</v>
      </c>
      <c r="AF87" s="242">
        <f t="shared" si="19"/>
        <v>8488810077.2510004</v>
      </c>
      <c r="AG87" s="282">
        <f>+AG85+AG32</f>
        <v>103383354060.48434</v>
      </c>
      <c r="AH87" s="132">
        <f>+AH85+AH32</f>
        <v>816251876.28318405</v>
      </c>
    </row>
    <row r="88" spans="1:50">
      <c r="R88" s="207">
        <v>4089232840.5999999</v>
      </c>
    </row>
    <row r="89" spans="1:50" ht="15.75" thickBot="1">
      <c r="D89" s="1"/>
      <c r="E89" s="207"/>
      <c r="F89" s="1"/>
      <c r="G89" s="207"/>
      <c r="H89" s="473"/>
      <c r="L89" s="372"/>
      <c r="R89" s="207">
        <f>+R85-R88</f>
        <v>177576313.80000019</v>
      </c>
      <c r="Y89" s="206">
        <f>+Cabildo!Y68+'La Calera'!Y68+Concón!Y68+Hijuelas!Y68+'La Cruz'!Y68+'La Ligua'!Y68+Limache!Y68+Nogales!Y68+Olmue!Y68+Papudo!Y68+Petorca!Y68+Puchuncavi!Y68+Quillota!Y68+Quilpue!Y68+Quintero!Y68+'Villa Alemana'!M68+'Viña del Mar'!Y68+Zapallar!Y68</f>
        <v>0</v>
      </c>
    </row>
    <row r="90" spans="1:50" ht="15.75" thickBot="1">
      <c r="A90" s="273"/>
      <c r="B90" s="758" t="s">
        <v>118</v>
      </c>
      <c r="C90" s="759"/>
      <c r="D90" s="760"/>
      <c r="E90" s="298"/>
    </row>
    <row r="91" spans="1:50" ht="15">
      <c r="A91" s="274" t="s">
        <v>119</v>
      </c>
      <c r="B91" s="708" t="s">
        <v>123</v>
      </c>
      <c r="C91" s="709"/>
      <c r="D91" s="275">
        <f>+U87+V87+W87</f>
        <v>24536330719.5</v>
      </c>
      <c r="G91" s="554" t="s">
        <v>275</v>
      </c>
      <c r="O91" s="558">
        <f t="shared" ref="O91:T91" si="20">+O20</f>
        <v>6105687539</v>
      </c>
      <c r="P91" s="558">
        <f t="shared" si="20"/>
        <v>6099844077</v>
      </c>
      <c r="Q91" s="558">
        <f t="shared" si="20"/>
        <v>6099844077</v>
      </c>
      <c r="R91" s="657">
        <f t="shared" si="20"/>
        <v>6094211910</v>
      </c>
      <c r="S91" s="657">
        <f t="shared" si="20"/>
        <v>6093543924</v>
      </c>
      <c r="T91" s="657">
        <f t="shared" si="20"/>
        <v>6094211910</v>
      </c>
    </row>
    <row r="92" spans="1:50" ht="15">
      <c r="A92" s="276" t="s">
        <v>120</v>
      </c>
      <c r="B92" s="706" t="s">
        <v>124</v>
      </c>
      <c r="C92" s="707"/>
      <c r="D92" s="277">
        <f>+X87+Y87+Z87</f>
        <v>28108876040.900002</v>
      </c>
      <c r="G92" s="554" t="s">
        <v>276</v>
      </c>
      <c r="O92" s="557">
        <f t="shared" ref="O92:T92" si="21">SUM(O22:O27)</f>
        <v>56255559</v>
      </c>
      <c r="P92" s="557">
        <f t="shared" si="21"/>
        <v>56255559</v>
      </c>
      <c r="Q92" s="557">
        <f t="shared" si="21"/>
        <v>1827367247.3333333</v>
      </c>
      <c r="R92" s="658">
        <f t="shared" si="21"/>
        <v>56255559</v>
      </c>
      <c r="S92" s="658">
        <f t="shared" si="21"/>
        <v>56255559</v>
      </c>
      <c r="T92" s="658">
        <f t="shared" si="21"/>
        <v>1820742075</v>
      </c>
    </row>
    <row r="93" spans="1:50" ht="15">
      <c r="A93" s="276" t="s">
        <v>121</v>
      </c>
      <c r="B93" s="706" t="s">
        <v>125</v>
      </c>
      <c r="C93" s="707"/>
      <c r="D93" s="277">
        <f>+AA87+AB87+AC87</f>
        <v>24566459577.533333</v>
      </c>
      <c r="G93" s="554" t="s">
        <v>277</v>
      </c>
      <c r="H93" s="556"/>
      <c r="O93" s="557">
        <f>+SUM(O28:O30)</f>
        <v>824392197</v>
      </c>
      <c r="P93" s="557">
        <f>+P28+P30</f>
        <v>359465514</v>
      </c>
      <c r="Q93" s="557">
        <f>+Q28+Q30</f>
        <v>447597412</v>
      </c>
      <c r="R93" s="658">
        <f>+R28+R30</f>
        <v>48071190</v>
      </c>
      <c r="S93" s="658">
        <f>+S28+S30</f>
        <v>25737310</v>
      </c>
      <c r="T93" s="658">
        <f>+T28+T30</f>
        <v>0</v>
      </c>
    </row>
    <row r="94" spans="1:50" ht="15.75" thickBot="1">
      <c r="A94" s="278" t="s">
        <v>122</v>
      </c>
      <c r="B94" s="704" t="s">
        <v>126</v>
      </c>
      <c r="C94" s="705"/>
      <c r="D94" s="279">
        <f>+AD87+AE87+AF87</f>
        <v>26171687722.550999</v>
      </c>
      <c r="G94" s="554" t="s">
        <v>279</v>
      </c>
      <c r="O94" s="207">
        <f t="shared" ref="O94:T94" si="22">+O21</f>
        <v>48301474</v>
      </c>
      <c r="P94" s="557">
        <f t="shared" si="22"/>
        <v>48301474</v>
      </c>
      <c r="Q94" s="557">
        <f t="shared" si="22"/>
        <v>48301474</v>
      </c>
      <c r="R94" s="658">
        <f t="shared" si="22"/>
        <v>48301474</v>
      </c>
      <c r="S94" s="658">
        <f t="shared" si="22"/>
        <v>48301474</v>
      </c>
      <c r="T94" s="658">
        <f t="shared" si="22"/>
        <v>52685859.889000006</v>
      </c>
    </row>
    <row r="95" spans="1:50" ht="15.75" customHeight="1" thickBot="1">
      <c r="A95" s="756" t="s">
        <v>117</v>
      </c>
      <c r="B95" s="757"/>
      <c r="C95" s="757"/>
      <c r="D95" s="280">
        <f>SUM(D91:D94)</f>
        <v>103383354060.48433</v>
      </c>
      <c r="G95" s="554" t="s">
        <v>72</v>
      </c>
      <c r="O95" s="207">
        <f t="shared" ref="O95:T95" si="23">+O85</f>
        <v>436956560.63527131</v>
      </c>
      <c r="P95" s="207">
        <f t="shared" si="23"/>
        <v>1431171674.4000001</v>
      </c>
      <c r="Q95" s="207">
        <f t="shared" si="23"/>
        <v>843805009</v>
      </c>
      <c r="R95" s="207">
        <f t="shared" si="23"/>
        <v>4266809154.4000001</v>
      </c>
      <c r="S95" s="207">
        <f t="shared" si="23"/>
        <v>1270561889</v>
      </c>
      <c r="T95" s="207">
        <f t="shared" si="23"/>
        <v>532299597.80000001</v>
      </c>
    </row>
    <row r="96" spans="1:50" ht="19.5">
      <c r="G96" s="554" t="s">
        <v>278</v>
      </c>
      <c r="O96" s="555">
        <f t="shared" ref="O96:T96" si="24">SUM(O92:O95)</f>
        <v>1365905790.6352713</v>
      </c>
      <c r="P96" s="555">
        <f t="shared" si="24"/>
        <v>1895194221.4000001</v>
      </c>
      <c r="Q96" s="555">
        <f t="shared" si="24"/>
        <v>3167071142.333333</v>
      </c>
      <c r="R96" s="555">
        <f t="shared" si="24"/>
        <v>4419437377.3999996</v>
      </c>
      <c r="S96" s="555">
        <f t="shared" si="24"/>
        <v>1400856232</v>
      </c>
      <c r="T96" s="555">
        <f t="shared" si="24"/>
        <v>2405727532.6890001</v>
      </c>
      <c r="U96" s="559"/>
      <c r="V96" s="559"/>
    </row>
    <row r="97" spans="6:21" ht="19.5">
      <c r="H97" s="556" t="s">
        <v>94</v>
      </c>
      <c r="O97" s="559">
        <f t="shared" ref="O97:T97" si="25">+O91+O96</f>
        <v>7471593329.6352711</v>
      </c>
      <c r="P97" s="559">
        <f t="shared" si="25"/>
        <v>7995038298.3999996</v>
      </c>
      <c r="Q97" s="559">
        <f t="shared" si="25"/>
        <v>9266915219.3333321</v>
      </c>
      <c r="R97" s="559">
        <f t="shared" si="25"/>
        <v>10513649287.4</v>
      </c>
      <c r="S97" s="559">
        <f t="shared" si="25"/>
        <v>7494400156</v>
      </c>
      <c r="T97" s="559">
        <f t="shared" si="25"/>
        <v>8499939442.6890001</v>
      </c>
    </row>
    <row r="99" spans="6:21" ht="15">
      <c r="G99" s="554" t="s">
        <v>280</v>
      </c>
      <c r="O99" s="207">
        <f>+O82+O73+O63+O62+O61+O56+O53</f>
        <v>283863198</v>
      </c>
      <c r="P99" s="207">
        <f>+P61+P62+P63</f>
        <v>201975297</v>
      </c>
      <c r="Q99" s="207">
        <f>+Q81+Q63+Q62+Q61+Q60</f>
        <v>376016391</v>
      </c>
      <c r="R99" s="681">
        <f>+S110+R68+R62+R60+R59+R58+R57+R56+R48+R43+R83+R81+R66</f>
        <v>1011660126</v>
      </c>
      <c r="S99" s="681">
        <f>+S83+S63+S62</f>
        <v>347072217</v>
      </c>
      <c r="T99" s="681">
        <f>+T62+T63</f>
        <v>233292972</v>
      </c>
    </row>
    <row r="100" spans="6:21">
      <c r="O100" s="561">
        <v>7185339986</v>
      </c>
      <c r="T100" s="207">
        <f>+R97-T99</f>
        <v>10280356315.4</v>
      </c>
    </row>
    <row r="101" spans="6:21">
      <c r="R101" s="207">
        <v>4137304031</v>
      </c>
      <c r="S101" s="680">
        <f>+S78+S73</f>
        <v>38171364</v>
      </c>
    </row>
    <row r="102" spans="6:21">
      <c r="O102" s="207">
        <f>+O97-O100</f>
        <v>286253343.63527107</v>
      </c>
      <c r="R102" s="207">
        <f>+R97-R101</f>
        <v>6376345256.3999996</v>
      </c>
    </row>
    <row r="103" spans="6:21">
      <c r="F103" s="4" t="s">
        <v>286</v>
      </c>
      <c r="G103" s="299">
        <v>10336072974</v>
      </c>
    </row>
    <row r="104" spans="6:21">
      <c r="G104" s="503">
        <f>+R97-G103</f>
        <v>177576313.39999962</v>
      </c>
      <c r="R104" s="207" t="s">
        <v>282</v>
      </c>
    </row>
    <row r="105" spans="6:21">
      <c r="R105" s="661">
        <f>+R36+R37+R47+R53+R54+R55+R63+R67+R52</f>
        <v>681259966.20000005</v>
      </c>
      <c r="S105" s="682">
        <f>SUM(S52:S55)</f>
        <v>242106000</v>
      </c>
    </row>
    <row r="106" spans="6:21">
      <c r="R106" s="207" t="s">
        <v>283</v>
      </c>
    </row>
    <row r="107" spans="6:21">
      <c r="R107" s="207">
        <f>+R40+R41+R42</f>
        <v>458344345.19999993</v>
      </c>
    </row>
    <row r="109" spans="6:21">
      <c r="R109" s="207" t="s">
        <v>284</v>
      </c>
      <c r="S109" s="207" t="s">
        <v>285</v>
      </c>
    </row>
    <row r="110" spans="6:21">
      <c r="R110" s="207">
        <v>278309676</v>
      </c>
      <c r="S110" s="207">
        <v>91899038</v>
      </c>
      <c r="T110" s="207">
        <f>+R110+S110</f>
        <v>370208714</v>
      </c>
      <c r="U110" s="207">
        <f>+R69-T110</f>
        <v>56634747</v>
      </c>
    </row>
    <row r="111" spans="6:21">
      <c r="R111" s="207">
        <f>+R69-R110</f>
        <v>148533785</v>
      </c>
    </row>
  </sheetData>
  <mergeCells count="24">
    <mergeCell ref="A20:D20"/>
    <mergeCell ref="B31:D31"/>
    <mergeCell ref="H5:AD7"/>
    <mergeCell ref="B14:D14"/>
    <mergeCell ref="E14:G14"/>
    <mergeCell ref="H14:T14"/>
    <mergeCell ref="U14:AG14"/>
    <mergeCell ref="A95:C95"/>
    <mergeCell ref="A85:C85"/>
    <mergeCell ref="A87:C87"/>
    <mergeCell ref="B90:D90"/>
    <mergeCell ref="A32:B32"/>
    <mergeCell ref="B34:D34"/>
    <mergeCell ref="AK34:AV34"/>
    <mergeCell ref="E77:G77"/>
    <mergeCell ref="E78:G78"/>
    <mergeCell ref="B94:C94"/>
    <mergeCell ref="B93:C93"/>
    <mergeCell ref="B92:C92"/>
    <mergeCell ref="B91:C91"/>
    <mergeCell ref="E34:G34"/>
    <mergeCell ref="H34:T34"/>
    <mergeCell ref="U34:AG34"/>
    <mergeCell ref="E80:G8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BA105"/>
  <sheetViews>
    <sheetView topLeftCell="A24" zoomScale="70" zoomScaleNormal="70" workbookViewId="0">
      <selection activeCell="AB60" sqref="AB60"/>
    </sheetView>
  </sheetViews>
  <sheetFormatPr baseColWidth="10" defaultRowHeight="14.25"/>
  <cols>
    <col min="1" max="1" width="4.85546875" style="1" customWidth="1"/>
    <col min="2" max="2" width="61" style="1" bestFit="1" customWidth="1"/>
    <col min="3" max="3" width="22.5703125" style="1" customWidth="1"/>
    <col min="4" max="4" width="22.140625" style="6" customWidth="1"/>
    <col min="5" max="5" width="17.85546875" style="4" customWidth="1"/>
    <col min="6" max="6" width="15.28515625" style="4" customWidth="1"/>
    <col min="7" max="7" width="15.85546875" style="4" customWidth="1"/>
    <col min="8" max="8" width="19.7109375" style="1" customWidth="1"/>
    <col min="9" max="9" width="16.7109375" style="1" hidden="1" customWidth="1"/>
    <col min="10" max="10" width="16.5703125" style="207" hidden="1" customWidth="1"/>
    <col min="11" max="11" width="17" style="1" hidden="1" customWidth="1"/>
    <col min="12" max="12" width="19.42578125" style="1" hidden="1" customWidth="1"/>
    <col min="13" max="13" width="15.7109375" style="207" hidden="1" customWidth="1"/>
    <col min="14" max="14" width="18.42578125" style="1" hidden="1" customWidth="1"/>
    <col min="15" max="15" width="19" style="1" hidden="1" customWidth="1"/>
    <col min="16" max="16" width="17.28515625" style="207" hidden="1" customWidth="1"/>
    <col min="17" max="17" width="19.85546875" style="1" hidden="1" customWidth="1"/>
    <col min="18" max="18" width="16.5703125" style="1" hidden="1" customWidth="1"/>
    <col min="19" max="19" width="19" style="1" customWidth="1"/>
    <col min="20" max="20" width="16.85546875" style="1" customWidth="1"/>
    <col min="21" max="21" width="19" style="1" hidden="1" customWidth="1"/>
    <col min="22" max="22" width="17.28515625" style="207" hidden="1" customWidth="1"/>
    <col min="23" max="24" width="17.7109375" style="207" hidden="1" customWidth="1"/>
    <col min="25" max="25" width="19" style="6" hidden="1" customWidth="1"/>
    <col min="26" max="27" width="17.7109375" style="207" hidden="1" customWidth="1"/>
    <col min="28" max="28" width="17.42578125" style="207" bestFit="1" customWidth="1"/>
    <col min="29" max="29" width="17.7109375" style="207" bestFit="1" customWidth="1"/>
    <col min="30" max="30" width="17.42578125" style="207" bestFit="1" customWidth="1"/>
    <col min="31" max="31" width="17.7109375" style="6" customWidth="1"/>
    <col min="32" max="32" width="16.85546875" style="6" customWidth="1"/>
    <col min="33" max="33" width="24" style="1" customWidth="1"/>
    <col min="34" max="34" width="16.85546875" style="207" customWidth="1"/>
    <col min="35" max="35" width="23.7109375" style="1" customWidth="1"/>
    <col min="36" max="36" width="27.5703125" style="1" customWidth="1"/>
    <col min="37" max="37" width="12" style="207" hidden="1" customWidth="1"/>
    <col min="38" max="38" width="14.42578125" style="1" hidden="1" customWidth="1"/>
    <col min="39" max="39" width="14" style="1" hidden="1" customWidth="1"/>
    <col min="40" max="40" width="14.42578125" style="1" hidden="1" customWidth="1"/>
    <col min="41" max="41" width="15.28515625" style="1" hidden="1" customWidth="1"/>
    <col min="42" max="42" width="14.7109375" style="1" hidden="1" customWidth="1"/>
    <col min="43" max="43" width="15.5703125" style="207" hidden="1" customWidth="1"/>
    <col min="44" max="44" width="14.5703125" style="207" hidden="1" customWidth="1"/>
    <col min="45" max="45" width="17.7109375" style="207" hidden="1" customWidth="1"/>
    <col min="46" max="46" width="13" style="207" hidden="1" customWidth="1"/>
    <col min="47" max="47" width="14.28515625" style="207" customWidth="1"/>
    <col min="48" max="48" width="17.42578125" style="207" customWidth="1"/>
    <col min="49" max="49" width="16.42578125" style="1" customWidth="1"/>
    <col min="50" max="50" width="21" style="1" customWidth="1"/>
    <col min="51" max="51" width="22.28515625" style="1" customWidth="1"/>
    <col min="52" max="52" width="11.42578125" style="1"/>
    <col min="53" max="53" width="14.85546875" style="1" customWidth="1"/>
    <col min="54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40</v>
      </c>
    </row>
    <row r="11" spans="1:34">
      <c r="B11" s="3" t="s">
        <v>41</v>
      </c>
    </row>
    <row r="12" spans="1:34">
      <c r="B12" s="3" t="s">
        <v>70</v>
      </c>
    </row>
    <row r="13" spans="1:34" ht="15" thickBot="1">
      <c r="I13" s="154">
        <v>637888</v>
      </c>
      <c r="J13" s="217">
        <v>641783</v>
      </c>
      <c r="K13" s="217">
        <v>655749.84000000008</v>
      </c>
      <c r="L13" s="217">
        <v>655750</v>
      </c>
    </row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0" t="s">
        <v>38</v>
      </c>
      <c r="I14" s="711"/>
      <c r="J14" s="711"/>
      <c r="K14" s="711"/>
      <c r="L14" s="711"/>
      <c r="M14" s="711"/>
      <c r="N14" s="747"/>
      <c r="O14" s="713"/>
      <c r="P14" s="713"/>
      <c r="Q14" s="713"/>
      <c r="R14" s="713"/>
      <c r="S14" s="713"/>
      <c r="T14" s="714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30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246" t="s">
        <v>13</v>
      </c>
      <c r="K15" s="74" t="s">
        <v>14</v>
      </c>
      <c r="L15" s="161" t="s">
        <v>15</v>
      </c>
      <c r="M15" s="246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374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374" t="s">
        <v>22</v>
      </c>
      <c r="AF15" s="684" t="s">
        <v>23</v>
      </c>
      <c r="AG15" s="79" t="s">
        <v>24</v>
      </c>
      <c r="AH15" s="258" t="s">
        <v>37</v>
      </c>
    </row>
    <row r="16" spans="1:34" ht="15">
      <c r="A16" s="18">
        <v>1</v>
      </c>
      <c r="B16" s="19" t="s">
        <v>26</v>
      </c>
      <c r="C16" s="136" t="s">
        <v>29</v>
      </c>
      <c r="D16" s="21">
        <f>371736144*12</f>
        <v>4460833728</v>
      </c>
      <c r="E16" s="22"/>
      <c r="F16" s="23"/>
      <c r="G16" s="24"/>
      <c r="H16" s="327">
        <f>SUM(I16:T16)</f>
        <v>4460833728</v>
      </c>
      <c r="I16" s="268">
        <v>371736144</v>
      </c>
      <c r="J16" s="217">
        <v>371736144</v>
      </c>
      <c r="K16" s="217">
        <v>371736144</v>
      </c>
      <c r="L16" s="217">
        <v>371736144</v>
      </c>
      <c r="M16" s="217">
        <v>371736144</v>
      </c>
      <c r="N16" s="39">
        <v>371736144</v>
      </c>
      <c r="O16" s="39">
        <v>371736144</v>
      </c>
      <c r="P16" s="217">
        <v>371736144</v>
      </c>
      <c r="Q16" s="39">
        <v>371736144</v>
      </c>
      <c r="R16" s="39">
        <v>371736144</v>
      </c>
      <c r="S16" s="39">
        <v>371736144</v>
      </c>
      <c r="T16" s="164">
        <v>371736144</v>
      </c>
      <c r="U16" s="38">
        <v>371736144</v>
      </c>
      <c r="V16" s="217">
        <v>371736144</v>
      </c>
      <c r="W16" s="217">
        <v>371736144</v>
      </c>
      <c r="X16" s="217">
        <v>371736144</v>
      </c>
      <c r="Y16" s="39">
        <v>371736144</v>
      </c>
      <c r="Z16" s="217">
        <v>371736144</v>
      </c>
      <c r="AA16" s="209">
        <v>371736144</v>
      </c>
      <c r="AB16" s="217">
        <v>371736144</v>
      </c>
      <c r="AC16" s="209">
        <v>371736144</v>
      </c>
      <c r="AD16" s="209">
        <v>371736144</v>
      </c>
      <c r="AE16" s="39">
        <v>371736144</v>
      </c>
      <c r="AF16" s="164">
        <v>371736144</v>
      </c>
      <c r="AG16" s="36">
        <f>SUM(U16:AF16)</f>
        <v>4460833728</v>
      </c>
      <c r="AH16" s="259">
        <f t="shared" ref="AH16:AH30" si="0">+H16-AG16</f>
        <v>0</v>
      </c>
    </row>
    <row r="17" spans="1:48" ht="15">
      <c r="A17" s="11">
        <v>2</v>
      </c>
      <c r="B17" s="7" t="s">
        <v>27</v>
      </c>
      <c r="C17" s="137" t="s">
        <v>29</v>
      </c>
      <c r="D17" s="13">
        <f>10758077*12</f>
        <v>129096924</v>
      </c>
      <c r="E17" s="15"/>
      <c r="F17" s="14"/>
      <c r="G17" s="16"/>
      <c r="H17" s="319">
        <f>SUM(I17:T17)</f>
        <v>129096924</v>
      </c>
      <c r="I17" s="154">
        <v>10758077</v>
      </c>
      <c r="J17" s="217">
        <v>10758077</v>
      </c>
      <c r="K17" s="217">
        <v>10758077</v>
      </c>
      <c r="L17" s="217">
        <v>10758077</v>
      </c>
      <c r="M17" s="217">
        <v>10758077</v>
      </c>
      <c r="N17" s="9">
        <v>10758077</v>
      </c>
      <c r="O17" s="9">
        <v>10758077</v>
      </c>
      <c r="P17" s="217">
        <v>10758077</v>
      </c>
      <c r="Q17" s="9">
        <v>10758077</v>
      </c>
      <c r="R17" s="9">
        <v>10758077</v>
      </c>
      <c r="S17" s="9">
        <v>10758077</v>
      </c>
      <c r="T17" s="164">
        <v>10758077</v>
      </c>
      <c r="U17" s="35">
        <v>10758077</v>
      </c>
      <c r="V17" s="217">
        <v>10758077</v>
      </c>
      <c r="W17" s="217">
        <v>10758077</v>
      </c>
      <c r="X17" s="217">
        <v>10758077</v>
      </c>
      <c r="Y17" s="9">
        <v>10758077</v>
      </c>
      <c r="Z17" s="217">
        <v>10758077</v>
      </c>
      <c r="AA17" s="206">
        <v>10758077</v>
      </c>
      <c r="AB17" s="217">
        <v>10758077</v>
      </c>
      <c r="AC17" s="206">
        <v>10758077</v>
      </c>
      <c r="AD17" s="206">
        <v>10758077</v>
      </c>
      <c r="AE17" s="9">
        <v>10758077</v>
      </c>
      <c r="AF17" s="164">
        <v>10758077</v>
      </c>
      <c r="AG17" s="37">
        <f t="shared" ref="AG17:AG29" si="1">SUM(U17:AF17)</f>
        <v>129096924</v>
      </c>
      <c r="AH17" s="260">
        <f t="shared" si="0"/>
        <v>0</v>
      </c>
    </row>
    <row r="18" spans="1:48" ht="15">
      <c r="A18" s="11">
        <v>3</v>
      </c>
      <c r="B18" s="7" t="s">
        <v>28</v>
      </c>
      <c r="C18" s="137" t="s">
        <v>29</v>
      </c>
      <c r="D18" s="13">
        <f>-561598*12</f>
        <v>-6739176</v>
      </c>
      <c r="E18" s="15"/>
      <c r="F18" s="14"/>
      <c r="G18" s="16"/>
      <c r="H18" s="319">
        <f t="shared" ref="H18:H29" si="2">SUM(I18:T18)</f>
        <v>-6739176</v>
      </c>
      <c r="I18" s="135">
        <v>-561598</v>
      </c>
      <c r="J18" s="217">
        <v>-561598</v>
      </c>
      <c r="K18" s="217">
        <v>-561598</v>
      </c>
      <c r="L18" s="217">
        <v>-561598</v>
      </c>
      <c r="M18" s="217">
        <v>-561598</v>
      </c>
      <c r="N18" s="9">
        <v>-561598</v>
      </c>
      <c r="O18" s="9">
        <v>-561598</v>
      </c>
      <c r="P18" s="217">
        <v>-561598</v>
      </c>
      <c r="Q18" s="9">
        <v>-561598</v>
      </c>
      <c r="R18" s="9">
        <v>-561598</v>
      </c>
      <c r="S18" s="9">
        <v>-561598</v>
      </c>
      <c r="T18" s="164">
        <v>-561598</v>
      </c>
      <c r="U18" s="35">
        <v>-561598</v>
      </c>
      <c r="V18" s="217">
        <v>-561598</v>
      </c>
      <c r="W18" s="206">
        <v>-561598</v>
      </c>
      <c r="X18" s="217">
        <v>-561598</v>
      </c>
      <c r="Y18" s="9">
        <v>-561598</v>
      </c>
      <c r="Z18" s="217">
        <v>-561598</v>
      </c>
      <c r="AA18" s="206">
        <v>-561598</v>
      </c>
      <c r="AB18" s="217">
        <v>-561598</v>
      </c>
      <c r="AC18" s="206">
        <v>-561598</v>
      </c>
      <c r="AD18" s="206">
        <v>-561598</v>
      </c>
      <c r="AE18" s="9">
        <v>-561598</v>
      </c>
      <c r="AF18" s="164">
        <v>-561598</v>
      </c>
      <c r="AG18" s="37">
        <f t="shared" si="1"/>
        <v>-6739176</v>
      </c>
      <c r="AH18" s="260">
        <f t="shared" si="0"/>
        <v>0</v>
      </c>
    </row>
    <row r="19" spans="1:48" ht="15" hidden="1">
      <c r="A19" s="11">
        <v>4</v>
      </c>
      <c r="B19" s="7" t="s">
        <v>30</v>
      </c>
      <c r="C19" s="137" t="s">
        <v>29</v>
      </c>
      <c r="D19" s="13"/>
      <c r="E19" s="15"/>
      <c r="F19" s="14"/>
      <c r="G19" s="16"/>
      <c r="H19" s="319">
        <f t="shared" si="2"/>
        <v>0</v>
      </c>
      <c r="I19" s="154"/>
      <c r="J19" s="217">
        <v>0</v>
      </c>
      <c r="K19" s="206"/>
      <c r="L19" s="206"/>
      <c r="M19" s="206"/>
      <c r="N19" s="9"/>
      <c r="O19" s="9">
        <v>0</v>
      </c>
      <c r="P19" s="206"/>
      <c r="Q19" s="9"/>
      <c r="R19" s="9"/>
      <c r="S19" s="9"/>
      <c r="T19" s="12"/>
      <c r="U19" s="35"/>
      <c r="V19" s="217">
        <v>0</v>
      </c>
      <c r="W19" s="206"/>
      <c r="X19" s="206"/>
      <c r="Y19" s="9"/>
      <c r="Z19" s="206"/>
      <c r="AA19" s="206"/>
      <c r="AB19" s="206"/>
      <c r="AC19" s="206"/>
      <c r="AD19" s="206"/>
      <c r="AE19" s="9"/>
      <c r="AF19" s="13"/>
      <c r="AG19" s="37">
        <f t="shared" si="1"/>
        <v>0</v>
      </c>
      <c r="AH19" s="260">
        <f t="shared" si="0"/>
        <v>0</v>
      </c>
    </row>
    <row r="20" spans="1:48" ht="29.25">
      <c r="A20" s="11">
        <v>5</v>
      </c>
      <c r="B20" s="10" t="s">
        <v>31</v>
      </c>
      <c r="C20" s="137" t="s">
        <v>29</v>
      </c>
      <c r="D20" s="13">
        <f>1753760*12</f>
        <v>21045120</v>
      </c>
      <c r="E20" s="15"/>
      <c r="F20" s="14"/>
      <c r="G20" s="16"/>
      <c r="H20" s="319">
        <f>SUM(I20:T20)</f>
        <v>21045120</v>
      </c>
      <c r="I20" s="154">
        <v>1753760</v>
      </c>
      <c r="J20" s="217">
        <v>1753760</v>
      </c>
      <c r="K20" s="217">
        <v>1753760</v>
      </c>
      <c r="L20" s="217">
        <v>1753760</v>
      </c>
      <c r="M20" s="206">
        <v>1753760</v>
      </c>
      <c r="N20" s="9">
        <v>1753760</v>
      </c>
      <c r="O20" s="9">
        <v>1753760</v>
      </c>
      <c r="P20" s="206">
        <v>1753760</v>
      </c>
      <c r="Q20" s="9">
        <v>1753760</v>
      </c>
      <c r="R20" s="9">
        <v>1753760</v>
      </c>
      <c r="S20" s="9">
        <v>1753760</v>
      </c>
      <c r="T20" s="12">
        <v>1753760</v>
      </c>
      <c r="U20" s="35">
        <v>1753760</v>
      </c>
      <c r="V20" s="217">
        <v>1753760</v>
      </c>
      <c r="W20" s="65">
        <v>1753760</v>
      </c>
      <c r="X20" s="217">
        <v>1753760</v>
      </c>
      <c r="Y20" s="9">
        <v>1753760</v>
      </c>
      <c r="Z20" s="217">
        <v>1753760</v>
      </c>
      <c r="AA20" s="206">
        <v>1753760</v>
      </c>
      <c r="AB20" s="206">
        <v>1753760</v>
      </c>
      <c r="AC20" s="206">
        <v>1753760</v>
      </c>
      <c r="AD20" s="206">
        <v>1753760</v>
      </c>
      <c r="AE20" s="9">
        <v>1753760</v>
      </c>
      <c r="AF20" s="13">
        <v>1753760</v>
      </c>
      <c r="AG20" s="37">
        <f t="shared" si="1"/>
        <v>21045120</v>
      </c>
      <c r="AH20" s="260">
        <f t="shared" si="0"/>
        <v>0</v>
      </c>
    </row>
    <row r="21" spans="1:48" ht="15">
      <c r="A21" s="11">
        <v>6</v>
      </c>
      <c r="B21" s="7" t="s">
        <v>32</v>
      </c>
      <c r="C21" s="137" t="s">
        <v>29</v>
      </c>
      <c r="D21" s="13">
        <f>637888*12</f>
        <v>7654656</v>
      </c>
      <c r="E21" s="171"/>
      <c r="F21" s="172"/>
      <c r="G21" s="343"/>
      <c r="H21" s="319">
        <f t="shared" si="2"/>
        <v>6071911</v>
      </c>
      <c r="I21" s="154">
        <v>483566</v>
      </c>
      <c r="J21" s="217">
        <v>449612</v>
      </c>
      <c r="K21" s="65">
        <v>497107</v>
      </c>
      <c r="L21" s="65">
        <v>497107</v>
      </c>
      <c r="M21" s="206">
        <v>497107</v>
      </c>
      <c r="N21" s="9">
        <v>497107</v>
      </c>
      <c r="O21" s="9">
        <v>497107</v>
      </c>
      <c r="P21" s="206">
        <v>497107</v>
      </c>
      <c r="Q21" s="9">
        <v>497107</v>
      </c>
      <c r="R21" s="9">
        <v>497107</v>
      </c>
      <c r="S21" s="9">
        <v>497107</v>
      </c>
      <c r="T21" s="12">
        <v>664770</v>
      </c>
      <c r="U21" s="35">
        <v>637888</v>
      </c>
      <c r="V21" s="217">
        <v>641783</v>
      </c>
      <c r="W21" s="65">
        <v>1040092</v>
      </c>
      <c r="X21" s="217">
        <f>497107-889478</f>
        <v>-392371</v>
      </c>
      <c r="Y21" s="9">
        <v>497107</v>
      </c>
      <c r="Z21" s="217">
        <v>497107</v>
      </c>
      <c r="AA21" s="206">
        <v>497107</v>
      </c>
      <c r="AB21" s="206">
        <v>497107</v>
      </c>
      <c r="AC21" s="206">
        <v>497107</v>
      </c>
      <c r="AD21" s="206">
        <v>497107</v>
      </c>
      <c r="AE21" s="9">
        <v>497107</v>
      </c>
      <c r="AF21" s="13">
        <v>664770</v>
      </c>
      <c r="AG21" s="37">
        <f t="shared" si="1"/>
        <v>6071911</v>
      </c>
      <c r="AH21" s="260">
        <f t="shared" si="0"/>
        <v>0</v>
      </c>
    </row>
    <row r="22" spans="1:48" ht="15">
      <c r="A22" s="11"/>
      <c r="B22" s="7" t="s">
        <v>130</v>
      </c>
      <c r="C22" s="137" t="s">
        <v>29</v>
      </c>
      <c r="D22" s="13"/>
      <c r="E22" s="15"/>
      <c r="F22" s="14"/>
      <c r="G22" s="16"/>
      <c r="H22" s="319">
        <f t="shared" si="2"/>
        <v>200112732</v>
      </c>
      <c r="I22" s="154"/>
      <c r="J22" s="217"/>
      <c r="K22" s="217"/>
      <c r="L22" s="217">
        <v>49051623</v>
      </c>
      <c r="M22" s="206"/>
      <c r="N22" s="9">
        <v>50288564</v>
      </c>
      <c r="O22" s="9"/>
      <c r="P22" s="206"/>
      <c r="Q22" s="9">
        <v>50430041</v>
      </c>
      <c r="R22" s="9"/>
      <c r="S22" s="9"/>
      <c r="T22" s="12">
        <v>50342504</v>
      </c>
      <c r="U22" s="35"/>
      <c r="V22" s="217"/>
      <c r="W22" s="65"/>
      <c r="X22" s="217">
        <v>49051623</v>
      </c>
      <c r="Y22" s="9"/>
      <c r="Z22" s="217">
        <v>50288564</v>
      </c>
      <c r="AA22" s="206"/>
      <c r="AB22" s="206"/>
      <c r="AC22" s="206">
        <v>50430041</v>
      </c>
      <c r="AD22" s="206"/>
      <c r="AE22" s="9"/>
      <c r="AF22" s="13">
        <v>50342504</v>
      </c>
      <c r="AG22" s="37">
        <f>SUM(U22:AF22)</f>
        <v>200112732</v>
      </c>
      <c r="AH22" s="260">
        <f t="shared" si="0"/>
        <v>0</v>
      </c>
    </row>
    <row r="23" spans="1:48" ht="15">
      <c r="A23" s="11"/>
      <c r="B23" s="7" t="s">
        <v>131</v>
      </c>
      <c r="C23" s="137" t="s">
        <v>29</v>
      </c>
      <c r="D23" s="13"/>
      <c r="E23" s="15"/>
      <c r="F23" s="14"/>
      <c r="G23" s="16"/>
      <c r="H23" s="319">
        <f t="shared" si="2"/>
        <v>231198123.33333331</v>
      </c>
      <c r="I23" s="154"/>
      <c r="J23" s="217"/>
      <c r="K23" s="217"/>
      <c r="L23" s="217">
        <v>56671268</v>
      </c>
      <c r="M23" s="206"/>
      <c r="N23" s="9">
        <v>58100361</v>
      </c>
      <c r="O23" s="9"/>
      <c r="P23" s="206"/>
      <c r="Q23" s="9">
        <v>58263814.333333299</v>
      </c>
      <c r="R23" s="9"/>
      <c r="S23" s="9"/>
      <c r="T23" s="12">
        <v>58162680</v>
      </c>
      <c r="U23" s="35"/>
      <c r="V23" s="217"/>
      <c r="W23" s="65"/>
      <c r="X23" s="217">
        <v>56671268</v>
      </c>
      <c r="Y23" s="9"/>
      <c r="Z23" s="217">
        <v>58100361</v>
      </c>
      <c r="AA23" s="206"/>
      <c r="AB23" s="206"/>
      <c r="AC23" s="206">
        <v>58263814.333333299</v>
      </c>
      <c r="AD23" s="206"/>
      <c r="AE23" s="9"/>
      <c r="AF23" s="13">
        <v>58162680</v>
      </c>
      <c r="AG23" s="37">
        <f>SUM(U23:AF23)</f>
        <v>231198123.33333331</v>
      </c>
      <c r="AH23" s="260">
        <f t="shared" si="0"/>
        <v>0</v>
      </c>
    </row>
    <row r="24" spans="1:48" ht="15">
      <c r="A24" s="11">
        <v>7</v>
      </c>
      <c r="B24" s="7" t="s">
        <v>33</v>
      </c>
      <c r="C24" s="137" t="s">
        <v>29</v>
      </c>
      <c r="D24" s="13">
        <f>602338*12</f>
        <v>7228056</v>
      </c>
      <c r="E24" s="15"/>
      <c r="F24" s="14"/>
      <c r="G24" s="16"/>
      <c r="H24" s="319">
        <f t="shared" si="2"/>
        <v>7228056</v>
      </c>
      <c r="I24" s="154">
        <v>602338</v>
      </c>
      <c r="J24" s="217">
        <v>602338</v>
      </c>
      <c r="K24" s="217">
        <v>602338</v>
      </c>
      <c r="L24" s="217">
        <v>602338</v>
      </c>
      <c r="M24" s="206">
        <v>602338</v>
      </c>
      <c r="N24" s="9">
        <v>602338</v>
      </c>
      <c r="O24" s="9">
        <v>602338</v>
      </c>
      <c r="P24" s="206">
        <v>602338</v>
      </c>
      <c r="Q24" s="9">
        <v>602338</v>
      </c>
      <c r="R24" s="9">
        <v>602338</v>
      </c>
      <c r="S24" s="9">
        <v>602338</v>
      </c>
      <c r="T24" s="12">
        <v>602338</v>
      </c>
      <c r="U24" s="35">
        <v>602338</v>
      </c>
      <c r="V24" s="217">
        <v>602338</v>
      </c>
      <c r="W24" s="65">
        <v>602338</v>
      </c>
      <c r="X24" s="217">
        <v>602338</v>
      </c>
      <c r="Y24" s="9">
        <v>602338</v>
      </c>
      <c r="Z24" s="217">
        <v>602338</v>
      </c>
      <c r="AA24" s="206">
        <v>602338</v>
      </c>
      <c r="AB24" s="206">
        <v>602338</v>
      </c>
      <c r="AC24" s="206">
        <v>602338</v>
      </c>
      <c r="AD24" s="206">
        <v>602338</v>
      </c>
      <c r="AE24" s="9">
        <v>602338</v>
      </c>
      <c r="AF24" s="13">
        <v>602338</v>
      </c>
      <c r="AG24" s="37">
        <f t="shared" si="1"/>
        <v>7228056</v>
      </c>
      <c r="AH24" s="260">
        <f t="shared" si="0"/>
        <v>0</v>
      </c>
    </row>
    <row r="25" spans="1:48" ht="15">
      <c r="A25" s="11">
        <v>8</v>
      </c>
      <c r="B25" s="7" t="s">
        <v>35</v>
      </c>
      <c r="C25" s="137" t="s">
        <v>29</v>
      </c>
      <c r="D25" s="13">
        <f>527768*12</f>
        <v>6333216</v>
      </c>
      <c r="E25" s="15"/>
      <c r="F25" s="14"/>
      <c r="G25" s="16"/>
      <c r="H25" s="319">
        <f t="shared" si="2"/>
        <v>6333216.1273599993</v>
      </c>
      <c r="I25" s="154">
        <v>527768</v>
      </c>
      <c r="J25" s="217">
        <v>527768</v>
      </c>
      <c r="K25" s="217">
        <v>527768.12735999993</v>
      </c>
      <c r="L25" s="217">
        <v>527768</v>
      </c>
      <c r="M25" s="206">
        <v>527768</v>
      </c>
      <c r="N25" s="9">
        <v>527768</v>
      </c>
      <c r="O25" s="9">
        <v>527768</v>
      </c>
      <c r="P25" s="206">
        <v>527768</v>
      </c>
      <c r="Q25" s="9">
        <v>527768</v>
      </c>
      <c r="R25" s="9">
        <v>527768</v>
      </c>
      <c r="S25" s="9">
        <v>527768</v>
      </c>
      <c r="T25" s="12">
        <v>527768</v>
      </c>
      <c r="U25" s="35">
        <v>527768</v>
      </c>
      <c r="V25" s="217">
        <v>527768</v>
      </c>
      <c r="W25" s="65">
        <v>527768</v>
      </c>
      <c r="X25" s="217">
        <v>527768</v>
      </c>
      <c r="Y25" s="9">
        <v>527768</v>
      </c>
      <c r="Z25" s="217">
        <v>527768</v>
      </c>
      <c r="AA25" s="206">
        <v>527768</v>
      </c>
      <c r="AB25" s="206">
        <v>527768</v>
      </c>
      <c r="AC25" s="206">
        <v>527768</v>
      </c>
      <c r="AD25" s="206">
        <v>527768</v>
      </c>
      <c r="AE25" s="9">
        <v>527768</v>
      </c>
      <c r="AF25" s="13">
        <v>527768</v>
      </c>
      <c r="AG25" s="37">
        <f t="shared" si="1"/>
        <v>6333216</v>
      </c>
      <c r="AH25" s="260">
        <f t="shared" si="0"/>
        <v>0.12735999934375286</v>
      </c>
    </row>
    <row r="26" spans="1:48" ht="15">
      <c r="A26" s="51">
        <v>9</v>
      </c>
      <c r="B26" s="52" t="s">
        <v>34</v>
      </c>
      <c r="C26" s="145" t="s">
        <v>29</v>
      </c>
      <c r="D26" s="13">
        <f>609640*12</f>
        <v>7315680</v>
      </c>
      <c r="E26" s="15"/>
      <c r="F26" s="14"/>
      <c r="G26" s="16"/>
      <c r="H26" s="319">
        <f t="shared" si="2"/>
        <v>7315680</v>
      </c>
      <c r="I26" s="154">
        <v>609640</v>
      </c>
      <c r="J26" s="217">
        <v>609640</v>
      </c>
      <c r="K26" s="217">
        <v>609640</v>
      </c>
      <c r="L26" s="217">
        <v>609640</v>
      </c>
      <c r="M26" s="206">
        <v>609640</v>
      </c>
      <c r="N26" s="9">
        <v>609640</v>
      </c>
      <c r="O26" s="9">
        <v>609640</v>
      </c>
      <c r="P26" s="206">
        <v>609640</v>
      </c>
      <c r="Q26" s="9">
        <v>609640</v>
      </c>
      <c r="R26" s="9">
        <v>609640</v>
      </c>
      <c r="S26" s="9">
        <v>609640</v>
      </c>
      <c r="T26" s="12">
        <v>609640</v>
      </c>
      <c r="U26" s="35">
        <v>609640</v>
      </c>
      <c r="V26" s="217">
        <v>609640</v>
      </c>
      <c r="W26" s="65">
        <v>609640</v>
      </c>
      <c r="X26" s="217">
        <v>609640</v>
      </c>
      <c r="Y26" s="9">
        <v>609640</v>
      </c>
      <c r="Z26" s="217">
        <v>609640</v>
      </c>
      <c r="AA26" s="206">
        <v>609640</v>
      </c>
      <c r="AB26" s="206">
        <v>609640</v>
      </c>
      <c r="AC26" s="206">
        <v>609640</v>
      </c>
      <c r="AD26" s="206">
        <v>609640</v>
      </c>
      <c r="AE26" s="9">
        <v>609640</v>
      </c>
      <c r="AF26" s="13">
        <v>609640</v>
      </c>
      <c r="AG26" s="37">
        <f t="shared" si="1"/>
        <v>7315680</v>
      </c>
      <c r="AH26" s="260">
        <f t="shared" si="0"/>
        <v>0</v>
      </c>
    </row>
    <row r="27" spans="1:48" ht="15">
      <c r="A27" s="51">
        <v>12</v>
      </c>
      <c r="B27" s="52" t="s">
        <v>202</v>
      </c>
      <c r="C27" s="145" t="s">
        <v>29</v>
      </c>
      <c r="D27" s="13"/>
      <c r="E27" s="15"/>
      <c r="F27" s="14"/>
      <c r="G27" s="16"/>
      <c r="H27" s="319">
        <f t="shared" si="2"/>
        <v>0</v>
      </c>
      <c r="I27" s="154"/>
      <c r="J27" s="217"/>
      <c r="K27" s="217"/>
      <c r="L27" s="217"/>
      <c r="M27" s="206"/>
      <c r="N27" s="9"/>
      <c r="O27" s="9"/>
      <c r="P27" s="206"/>
      <c r="Q27" s="9"/>
      <c r="R27" s="9"/>
      <c r="S27" s="9"/>
      <c r="T27" s="12"/>
      <c r="U27" s="35"/>
      <c r="V27" s="217"/>
      <c r="W27" s="65"/>
      <c r="X27" s="217"/>
      <c r="Y27" s="9"/>
      <c r="Z27" s="217"/>
      <c r="AA27" s="206"/>
      <c r="AB27" s="206"/>
      <c r="AC27" s="206"/>
      <c r="AD27" s="206"/>
      <c r="AE27" s="9"/>
      <c r="AF27" s="13"/>
      <c r="AG27" s="37">
        <f t="shared" si="1"/>
        <v>0</v>
      </c>
      <c r="AH27" s="260">
        <f t="shared" si="0"/>
        <v>0</v>
      </c>
    </row>
    <row r="28" spans="1:48" ht="15">
      <c r="A28" s="51">
        <v>13</v>
      </c>
      <c r="B28" s="52" t="s">
        <v>203</v>
      </c>
      <c r="C28" s="145" t="s">
        <v>29</v>
      </c>
      <c r="D28" s="13"/>
      <c r="E28" s="15"/>
      <c r="F28" s="14"/>
      <c r="G28" s="16"/>
      <c r="H28" s="319">
        <f t="shared" si="2"/>
        <v>25737310</v>
      </c>
      <c r="I28" s="154"/>
      <c r="J28" s="217"/>
      <c r="K28" s="217"/>
      <c r="L28" s="217"/>
      <c r="M28" s="206"/>
      <c r="N28" s="9"/>
      <c r="O28" s="9"/>
      <c r="P28" s="206"/>
      <c r="Q28" s="9"/>
      <c r="R28" s="9"/>
      <c r="S28" s="9">
        <v>25737310</v>
      </c>
      <c r="T28" s="12"/>
      <c r="U28" s="35"/>
      <c r="V28" s="217"/>
      <c r="W28" s="65"/>
      <c r="X28" s="217"/>
      <c r="Y28" s="9"/>
      <c r="Z28" s="217"/>
      <c r="AA28" s="206"/>
      <c r="AB28" s="206"/>
      <c r="AC28" s="206"/>
      <c r="AD28" s="206"/>
      <c r="AE28" s="9"/>
      <c r="AF28" s="13">
        <v>25737310</v>
      </c>
      <c r="AG28" s="37">
        <f t="shared" si="1"/>
        <v>25737310</v>
      </c>
      <c r="AH28" s="260">
        <f t="shared" si="0"/>
        <v>0</v>
      </c>
    </row>
    <row r="29" spans="1:48" ht="15.75" thickBot="1">
      <c r="A29" s="672"/>
      <c r="B29" s="52" t="s">
        <v>298</v>
      </c>
      <c r="C29" s="145" t="s">
        <v>29</v>
      </c>
      <c r="D29" s="13"/>
      <c r="E29" s="15"/>
      <c r="F29" s="14"/>
      <c r="G29" s="16"/>
      <c r="H29" s="319">
        <f t="shared" si="2"/>
        <v>49048239.204221502</v>
      </c>
      <c r="I29" s="154"/>
      <c r="J29" s="217"/>
      <c r="K29" s="217"/>
      <c r="L29" s="217"/>
      <c r="M29" s="206"/>
      <c r="N29" s="9"/>
      <c r="O29" s="9"/>
      <c r="P29" s="206"/>
      <c r="Q29" s="9"/>
      <c r="R29" s="9"/>
      <c r="S29" s="9">
        <v>49048239.204221502</v>
      </c>
      <c r="T29" s="12"/>
      <c r="U29" s="35"/>
      <c r="V29" s="217"/>
      <c r="W29" s="65"/>
      <c r="X29" s="217"/>
      <c r="Y29" s="9"/>
      <c r="Z29" s="217"/>
      <c r="AA29" s="206"/>
      <c r="AB29" s="206"/>
      <c r="AC29" s="206"/>
      <c r="AD29" s="206"/>
      <c r="AE29" s="9">
        <v>49048239.204221502</v>
      </c>
      <c r="AF29" s="13"/>
      <c r="AG29" s="37">
        <f t="shared" si="1"/>
        <v>49048239.204221502</v>
      </c>
      <c r="AH29" s="260">
        <f t="shared" si="0"/>
        <v>0</v>
      </c>
    </row>
    <row r="30" spans="1:48" ht="15.75" thickBot="1">
      <c r="A30" s="743" t="s">
        <v>36</v>
      </c>
      <c r="B30" s="744"/>
      <c r="C30" s="106"/>
      <c r="D30" s="107">
        <f>SUM(D16:D26)</f>
        <v>4632768204</v>
      </c>
      <c r="E30" s="108"/>
      <c r="F30" s="109"/>
      <c r="G30" s="110"/>
      <c r="H30" s="320">
        <f>SUM(H16:H28)</f>
        <v>5088233624.4606934</v>
      </c>
      <c r="I30" s="316">
        <f>SUM(I16:I28)</f>
        <v>385909695</v>
      </c>
      <c r="J30" s="316">
        <f t="shared" ref="J30:O30" si="3">SUM(J16:J28)</f>
        <v>385875741</v>
      </c>
      <c r="K30" s="316">
        <f t="shared" si="3"/>
        <v>385923236.12735999</v>
      </c>
      <c r="L30" s="316">
        <f t="shared" si="3"/>
        <v>491646127</v>
      </c>
      <c r="M30" s="316">
        <f t="shared" si="3"/>
        <v>385923236</v>
      </c>
      <c r="N30" s="316">
        <f t="shared" si="3"/>
        <v>494312161</v>
      </c>
      <c r="O30" s="316">
        <f t="shared" si="3"/>
        <v>385923236</v>
      </c>
      <c r="P30" s="499">
        <f t="shared" ref="P30:AF30" si="4">SUM(P16:P28)</f>
        <v>385923236</v>
      </c>
      <c r="Q30" s="316">
        <f t="shared" si="4"/>
        <v>494617091.33333331</v>
      </c>
      <c r="R30" s="316">
        <f t="shared" si="4"/>
        <v>385923236</v>
      </c>
      <c r="S30" s="316">
        <f t="shared" si="4"/>
        <v>411660546</v>
      </c>
      <c r="T30" s="316">
        <f t="shared" si="4"/>
        <v>494596083</v>
      </c>
      <c r="U30" s="111">
        <f t="shared" si="4"/>
        <v>386064017</v>
      </c>
      <c r="V30" s="211">
        <f t="shared" si="4"/>
        <v>386067912</v>
      </c>
      <c r="W30" s="211">
        <f t="shared" si="4"/>
        <v>386466221</v>
      </c>
      <c r="X30" s="211">
        <f t="shared" si="4"/>
        <v>490756649</v>
      </c>
      <c r="Y30" s="211">
        <f t="shared" si="4"/>
        <v>385923236</v>
      </c>
      <c r="Z30" s="211">
        <f t="shared" si="4"/>
        <v>494312161</v>
      </c>
      <c r="AA30" s="211">
        <f t="shared" si="4"/>
        <v>385923236</v>
      </c>
      <c r="AB30" s="211">
        <f t="shared" si="4"/>
        <v>385923236</v>
      </c>
      <c r="AC30" s="211">
        <f t="shared" si="4"/>
        <v>494617091.33333331</v>
      </c>
      <c r="AD30" s="211">
        <f t="shared" si="4"/>
        <v>385923236</v>
      </c>
      <c r="AE30" s="111">
        <f t="shared" si="4"/>
        <v>385923236</v>
      </c>
      <c r="AF30" s="111">
        <f t="shared" si="4"/>
        <v>520333393</v>
      </c>
      <c r="AG30" s="114">
        <f>SUM(U30:AF30)</f>
        <v>5088233624.333334</v>
      </c>
      <c r="AH30" s="262">
        <f t="shared" si="0"/>
        <v>0.12735939025878906</v>
      </c>
    </row>
    <row r="31" spans="1:48" ht="15" thickBot="1">
      <c r="B31" s="673">
        <v>10776511</v>
      </c>
      <c r="C31" s="149">
        <v>1</v>
      </c>
      <c r="D31" s="65">
        <v>13789035</v>
      </c>
      <c r="E31" s="5">
        <v>0.7</v>
      </c>
      <c r="F31" s="5">
        <v>0.3</v>
      </c>
      <c r="G31" s="5">
        <v>8.3333333333333329E-2</v>
      </c>
      <c r="H31" s="149">
        <f>+C31/3</f>
        <v>0.33333333333333331</v>
      </c>
      <c r="AO31" s="207"/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0" t="s">
        <v>38</v>
      </c>
      <c r="I32" s="711"/>
      <c r="J32" s="711"/>
      <c r="K32" s="711"/>
      <c r="L32" s="711"/>
      <c r="M32" s="711"/>
      <c r="N32" s="712"/>
      <c r="O32" s="713"/>
      <c r="P32" s="713"/>
      <c r="Q32" s="713"/>
      <c r="R32" s="713"/>
      <c r="S32" s="713"/>
      <c r="T32" s="714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3" ht="30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246" t="s">
        <v>13</v>
      </c>
      <c r="K33" s="74" t="s">
        <v>14</v>
      </c>
      <c r="L33" s="74" t="s">
        <v>15</v>
      </c>
      <c r="M33" s="246" t="s">
        <v>16</v>
      </c>
      <c r="N33" s="74" t="s">
        <v>17</v>
      </c>
      <c r="O33" s="74" t="s">
        <v>18</v>
      </c>
      <c r="P33" s="246" t="s">
        <v>19</v>
      </c>
      <c r="Q33" s="74" t="s">
        <v>20</v>
      </c>
      <c r="R33" s="74" t="s">
        <v>21</v>
      </c>
      <c r="S33" s="74" t="s">
        <v>22</v>
      </c>
      <c r="T33" s="75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374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374" t="s">
        <v>22</v>
      </c>
      <c r="AF33" s="374" t="s">
        <v>23</v>
      </c>
      <c r="AG33" s="78" t="s">
        <v>24</v>
      </c>
      <c r="AH33" s="25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21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3" t="s">
        <v>178</v>
      </c>
      <c r="AX33" s="427" t="s">
        <v>179</v>
      </c>
    </row>
    <row r="34" spans="1:53" ht="15.75" thickBot="1">
      <c r="A34" s="573">
        <v>1</v>
      </c>
      <c r="B34" s="608" t="s">
        <v>99</v>
      </c>
      <c r="C34" s="609">
        <v>1356</v>
      </c>
      <c r="D34" s="610">
        <v>811254</v>
      </c>
      <c r="E34" s="611">
        <f>+D34*$E$31</f>
        <v>567877.79999999993</v>
      </c>
      <c r="F34" s="612">
        <f>+D34*$F$31</f>
        <v>243376.19999999998</v>
      </c>
      <c r="G34" s="613"/>
      <c r="H34" s="327">
        <f>SUM(I34:T34)</f>
        <v>811253.99999999988</v>
      </c>
      <c r="I34" s="268"/>
      <c r="J34" s="249"/>
      <c r="K34" s="153">
        <v>567877.79999999993</v>
      </c>
      <c r="L34" s="33"/>
      <c r="M34" s="212"/>
      <c r="N34" s="33"/>
      <c r="O34" s="33"/>
      <c r="P34" s="212"/>
      <c r="Q34" s="33"/>
      <c r="R34" s="33">
        <v>243376.19999999998</v>
      </c>
      <c r="S34" s="33"/>
      <c r="T34" s="21"/>
      <c r="U34" s="38"/>
      <c r="V34" s="220"/>
      <c r="W34" s="209">
        <v>567877.79999999993</v>
      </c>
      <c r="X34" s="209"/>
      <c r="Y34" s="39"/>
      <c r="Z34" s="209"/>
      <c r="AA34" s="209"/>
      <c r="AB34" s="209"/>
      <c r="AC34" s="209"/>
      <c r="AD34" s="212">
        <v>243376.19999999998</v>
      </c>
      <c r="AE34" s="39"/>
      <c r="AF34" s="39"/>
      <c r="AG34" s="40">
        <f>SUM(U34:AF34)</f>
        <v>811253.99999999988</v>
      </c>
      <c r="AH34" s="259">
        <f t="shared" ref="AH34:AH67" si="5">+H34-AG34</f>
        <v>0</v>
      </c>
      <c r="AK34" s="234"/>
      <c r="AL34" s="220"/>
      <c r="AM34" s="209"/>
      <c r="AN34" s="209"/>
      <c r="AO34" s="39"/>
      <c r="AP34" s="209"/>
      <c r="AQ34" s="209"/>
      <c r="AR34" s="209">
        <v>432898.15207417595</v>
      </c>
      <c r="AS34" s="209"/>
      <c r="AT34" s="209"/>
      <c r="AU34" s="209"/>
      <c r="AV34" s="225"/>
      <c r="AW34" s="36">
        <f>SUM(AK34:AV34)</f>
        <v>432898.15207417595</v>
      </c>
      <c r="AX34" s="501">
        <f>+AG34-AW34</f>
        <v>378355.84792582394</v>
      </c>
    </row>
    <row r="35" spans="1:53" ht="15">
      <c r="A35" s="573">
        <v>2</v>
      </c>
      <c r="B35" s="608" t="s">
        <v>100</v>
      </c>
      <c r="C35" s="609">
        <v>1356</v>
      </c>
      <c r="D35" s="610">
        <v>28505400</v>
      </c>
      <c r="E35" s="583">
        <f>+D35*$E$31</f>
        <v>19953780</v>
      </c>
      <c r="F35" s="584">
        <f>+D35*$F$31</f>
        <v>8551620</v>
      </c>
      <c r="G35" s="614"/>
      <c r="H35" s="319">
        <f>SUM(I35:T35)</f>
        <v>28505400</v>
      </c>
      <c r="I35" s="153"/>
      <c r="J35" s="251"/>
      <c r="K35" s="153">
        <v>19953780</v>
      </c>
      <c r="L35" s="33"/>
      <c r="M35" s="212"/>
      <c r="N35" s="33"/>
      <c r="O35" s="33"/>
      <c r="P35" s="212"/>
      <c r="Q35" s="33"/>
      <c r="R35" s="33">
        <v>8551620</v>
      </c>
      <c r="S35" s="33"/>
      <c r="T35" s="21"/>
      <c r="U35" s="144"/>
      <c r="V35" s="217"/>
      <c r="W35" s="212">
        <v>19953780</v>
      </c>
      <c r="X35" s="212"/>
      <c r="Y35" s="33"/>
      <c r="Z35" s="212"/>
      <c r="AA35" s="212"/>
      <c r="AB35" s="212"/>
      <c r="AC35" s="212"/>
      <c r="AD35" s="212">
        <v>8551620</v>
      </c>
      <c r="AE35" s="33"/>
      <c r="AF35" s="33"/>
      <c r="AG35" s="40">
        <f>SUM(U35:AF35)</f>
        <v>28505400</v>
      </c>
      <c r="AH35" s="259">
        <f t="shared" si="5"/>
        <v>0</v>
      </c>
      <c r="AK35" s="237"/>
      <c r="AL35" s="217"/>
      <c r="AM35" s="212"/>
      <c r="AN35" s="212"/>
      <c r="AO35" s="33"/>
      <c r="AP35" s="212"/>
      <c r="AQ35" s="212"/>
      <c r="AR35" s="212">
        <v>15210938.847925823</v>
      </c>
      <c r="AS35" s="212"/>
      <c r="AT35" s="206">
        <v>3626011</v>
      </c>
      <c r="AU35" s="212">
        <v>4323579</v>
      </c>
      <c r="AV35" s="248"/>
      <c r="AW35" s="36">
        <f>SUM(AK35:AV35)</f>
        <v>23160528.847925823</v>
      </c>
      <c r="AX35" s="263">
        <f t="shared" ref="AX35:AX77" si="6">+AG35-AW35</f>
        <v>5344871.1520741768</v>
      </c>
      <c r="AY35" s="473"/>
      <c r="AZ35" s="149"/>
    </row>
    <row r="36" spans="1:53" ht="15">
      <c r="A36" s="573">
        <v>3</v>
      </c>
      <c r="B36" s="575" t="s">
        <v>74</v>
      </c>
      <c r="C36" s="581">
        <v>2390</v>
      </c>
      <c r="D36" s="577">
        <v>204616108</v>
      </c>
      <c r="E36" s="578">
        <f>+D36*G31</f>
        <v>17051342.333333332</v>
      </c>
      <c r="F36" s="579">
        <f>+D36*G31</f>
        <v>17051342.333333332</v>
      </c>
      <c r="G36" s="580">
        <f>+D36*G31</f>
        <v>17051342.333333332</v>
      </c>
      <c r="H36" s="319">
        <f t="shared" ref="H36:H82" si="7">SUM(I36:T36)</f>
        <v>204616108</v>
      </c>
      <c r="I36" s="154"/>
      <c r="J36" s="251"/>
      <c r="K36" s="154"/>
      <c r="L36" s="9">
        <v>68205369</v>
      </c>
      <c r="M36" s="206">
        <v>17051343</v>
      </c>
      <c r="N36" s="9">
        <v>17051342</v>
      </c>
      <c r="O36" s="33">
        <v>17051342</v>
      </c>
      <c r="P36" s="212">
        <v>17051342</v>
      </c>
      <c r="Q36" s="33">
        <v>17051343</v>
      </c>
      <c r="R36" s="33">
        <v>17051342</v>
      </c>
      <c r="S36" s="33">
        <v>17051342</v>
      </c>
      <c r="T36" s="21">
        <v>17051343</v>
      </c>
      <c r="U36" s="35"/>
      <c r="V36" s="217"/>
      <c r="W36" s="206"/>
      <c r="X36" s="206">
        <v>68205369</v>
      </c>
      <c r="Y36" s="9">
        <v>17051343</v>
      </c>
      <c r="Z36" s="206"/>
      <c r="AA36" s="206"/>
      <c r="AB36" s="206">
        <v>17051342</v>
      </c>
      <c r="AC36" s="206">
        <f>34102684+17051343</f>
        <v>51154027</v>
      </c>
      <c r="AD36" s="206">
        <v>17051342</v>
      </c>
      <c r="AE36" s="9">
        <v>17051342</v>
      </c>
      <c r="AF36" s="9">
        <v>17051343</v>
      </c>
      <c r="AG36" s="34">
        <f t="shared" ref="AG36:AG59" si="8">SUM(U36:AF36)</f>
        <v>204616108</v>
      </c>
      <c r="AH36" s="260">
        <f t="shared" si="5"/>
        <v>0</v>
      </c>
      <c r="AK36" s="235"/>
      <c r="AL36" s="217"/>
      <c r="AM36" s="206"/>
      <c r="AN36" s="206">
        <v>0</v>
      </c>
      <c r="AO36" s="9"/>
      <c r="AP36" s="206"/>
      <c r="AQ36" s="206"/>
      <c r="AR36" s="206">
        <v>181511878</v>
      </c>
      <c r="AS36" s="206"/>
      <c r="AU36" s="206"/>
      <c r="AV36" s="227"/>
      <c r="AW36" s="37">
        <f t="shared" ref="AW36:AW45" si="9">SUM(AK36:AV36)</f>
        <v>181511878</v>
      </c>
      <c r="AX36" s="263">
        <f>+AG36-AW36</f>
        <v>23104230</v>
      </c>
      <c r="AY36" s="473"/>
      <c r="AZ36" s="502"/>
      <c r="BA36" s="207"/>
    </row>
    <row r="37" spans="1:53" ht="15">
      <c r="A37" s="18">
        <v>4</v>
      </c>
      <c r="B37" s="7" t="s">
        <v>75</v>
      </c>
      <c r="C37" s="137"/>
      <c r="D37" s="13"/>
      <c r="E37" s="142"/>
      <c r="F37" s="143"/>
      <c r="G37" s="160"/>
      <c r="H37" s="319">
        <f t="shared" si="7"/>
        <v>0</v>
      </c>
      <c r="I37" s="154"/>
      <c r="J37" s="251"/>
      <c r="K37" s="154"/>
      <c r="L37" s="9"/>
      <c r="M37" s="206"/>
      <c r="N37" s="9"/>
      <c r="O37" s="33"/>
      <c r="P37" s="212"/>
      <c r="Q37" s="33"/>
      <c r="R37" s="33"/>
      <c r="S37" s="33"/>
      <c r="T37" s="21"/>
      <c r="U37" s="35"/>
      <c r="V37" s="217"/>
      <c r="W37" s="206"/>
      <c r="X37" s="206"/>
      <c r="Y37" s="9"/>
      <c r="Z37" s="206"/>
      <c r="AA37" s="206"/>
      <c r="AB37" s="206"/>
      <c r="AC37" s="206"/>
      <c r="AD37" s="206"/>
      <c r="AE37" s="9"/>
      <c r="AF37" s="9"/>
      <c r="AG37" s="34">
        <f t="shared" si="8"/>
        <v>0</v>
      </c>
      <c r="AH37" s="260">
        <f t="shared" si="5"/>
        <v>0</v>
      </c>
      <c r="AK37" s="235"/>
      <c r="AL37" s="217"/>
      <c r="AM37" s="206"/>
      <c r="AN37" s="206"/>
      <c r="AO37" s="9"/>
      <c r="AP37" s="206"/>
      <c r="AQ37" s="206"/>
      <c r="AR37" s="206"/>
      <c r="AS37" s="206"/>
      <c r="AT37" s="206"/>
      <c r="AU37" s="206"/>
      <c r="AV37" s="227"/>
      <c r="AW37" s="37">
        <f t="shared" si="9"/>
        <v>0</v>
      </c>
      <c r="AX37" s="263">
        <f t="shared" si="6"/>
        <v>0</v>
      </c>
      <c r="AZ37" s="502"/>
      <c r="BA37" s="207"/>
    </row>
    <row r="38" spans="1:53" ht="15">
      <c r="A38" s="573">
        <v>5</v>
      </c>
      <c r="B38" s="575" t="s">
        <v>101</v>
      </c>
      <c r="C38" s="581" t="s">
        <v>187</v>
      </c>
      <c r="D38" s="577">
        <f>142806471</f>
        <v>142806471</v>
      </c>
      <c r="E38" s="578">
        <f>+D38*$E$31</f>
        <v>99964529.699999988</v>
      </c>
      <c r="F38" s="579">
        <f>+D38*$F$31</f>
        <v>42841941.299999997</v>
      </c>
      <c r="G38" s="580"/>
      <c r="H38" s="319">
        <f t="shared" si="7"/>
        <v>142806471</v>
      </c>
      <c r="I38" s="154"/>
      <c r="J38" s="251"/>
      <c r="K38" s="154">
        <v>99964529.699999988</v>
      </c>
      <c r="L38" s="9"/>
      <c r="M38" s="206"/>
      <c r="N38" s="9"/>
      <c r="O38" s="33"/>
      <c r="P38" s="212"/>
      <c r="Q38" s="33"/>
      <c r="R38" s="33">
        <v>42841941.299999997</v>
      </c>
      <c r="S38" s="33"/>
      <c r="T38" s="21"/>
      <c r="U38" s="35"/>
      <c r="V38" s="217"/>
      <c r="W38" s="206">
        <v>99964529.699999988</v>
      </c>
      <c r="X38" s="206"/>
      <c r="Y38" s="9"/>
      <c r="Z38" s="206"/>
      <c r="AA38" s="206"/>
      <c r="AB38" s="206"/>
      <c r="AC38" s="206"/>
      <c r="AD38" s="212">
        <v>42841941.299999997</v>
      </c>
      <c r="AE38" s="9"/>
      <c r="AF38" s="9"/>
      <c r="AG38" s="34">
        <f t="shared" si="8"/>
        <v>142806471</v>
      </c>
      <c r="AH38" s="260">
        <f t="shared" si="5"/>
        <v>0</v>
      </c>
      <c r="AK38" s="235"/>
      <c r="AL38" s="217"/>
      <c r="AM38" s="206"/>
      <c r="AN38" s="206"/>
      <c r="AO38" s="9"/>
      <c r="AP38" s="206"/>
      <c r="AQ38" s="206"/>
      <c r="AR38" s="206">
        <v>12730139.178758269</v>
      </c>
      <c r="AS38" s="206"/>
      <c r="AT38" s="206">
        <v>14939077</v>
      </c>
      <c r="AU38" s="206"/>
      <c r="AV38" s="227"/>
      <c r="AW38" s="37">
        <f t="shared" si="9"/>
        <v>27669216.178758271</v>
      </c>
      <c r="AX38" s="263">
        <f t="shared" si="6"/>
        <v>115137254.82124174</v>
      </c>
      <c r="AY38" s="207"/>
      <c r="AZ38" s="149"/>
    </row>
    <row r="39" spans="1:53" ht="15">
      <c r="A39" s="573">
        <v>6</v>
      </c>
      <c r="B39" s="575" t="s">
        <v>102</v>
      </c>
      <c r="C39" s="581" t="s">
        <v>187</v>
      </c>
      <c r="D39" s="577">
        <v>1544400</v>
      </c>
      <c r="E39" s="578">
        <f>+D39*$E$31</f>
        <v>1081080</v>
      </c>
      <c r="F39" s="579">
        <f>+D39*$F$31</f>
        <v>463320</v>
      </c>
      <c r="G39" s="580"/>
      <c r="H39" s="319">
        <f t="shared" si="7"/>
        <v>1544400</v>
      </c>
      <c r="I39" s="154"/>
      <c r="J39" s="251"/>
      <c r="K39" s="154">
        <v>1081080</v>
      </c>
      <c r="L39" s="9"/>
      <c r="M39" s="206"/>
      <c r="N39" s="9"/>
      <c r="O39" s="33"/>
      <c r="P39" s="212"/>
      <c r="Q39" s="33"/>
      <c r="R39" s="33">
        <v>463320</v>
      </c>
      <c r="S39" s="33"/>
      <c r="T39" s="21"/>
      <c r="U39" s="35"/>
      <c r="V39" s="217"/>
      <c r="W39" s="206">
        <v>1081080</v>
      </c>
      <c r="X39" s="206"/>
      <c r="Y39" s="9"/>
      <c r="Z39" s="206"/>
      <c r="AA39" s="206"/>
      <c r="AB39" s="206"/>
      <c r="AC39" s="206"/>
      <c r="AD39" s="212">
        <v>463320</v>
      </c>
      <c r="AE39" s="9"/>
      <c r="AF39" s="9"/>
      <c r="AG39" s="34">
        <f t="shared" si="8"/>
        <v>1544400</v>
      </c>
      <c r="AH39" s="260">
        <f t="shared" si="5"/>
        <v>0</v>
      </c>
      <c r="AK39" s="235"/>
      <c r="AL39" s="217"/>
      <c r="AM39" s="206"/>
      <c r="AN39" s="206"/>
      <c r="AO39" s="9"/>
      <c r="AP39" s="206"/>
      <c r="AQ39" s="206"/>
      <c r="AR39" s="206">
        <v>137671.82124172983</v>
      </c>
      <c r="AS39" s="206"/>
      <c r="AT39" s="206"/>
      <c r="AU39" s="206"/>
      <c r="AV39" s="227"/>
      <c r="AW39" s="37">
        <f t="shared" si="9"/>
        <v>137671.82124172983</v>
      </c>
      <c r="AX39" s="263">
        <f t="shared" si="6"/>
        <v>1406728.1787582701</v>
      </c>
      <c r="AY39" s="473"/>
      <c r="AZ39" s="502"/>
      <c r="BA39" s="473"/>
    </row>
    <row r="40" spans="1:53" ht="15">
      <c r="A40" s="18">
        <v>7</v>
      </c>
      <c r="B40" s="7" t="s">
        <v>112</v>
      </c>
      <c r="C40" s="137"/>
      <c r="D40" s="13"/>
      <c r="E40" s="142"/>
      <c r="F40" s="143"/>
      <c r="G40" s="160"/>
      <c r="H40" s="319">
        <f t="shared" si="7"/>
        <v>0</v>
      </c>
      <c r="I40" s="154"/>
      <c r="J40" s="251"/>
      <c r="K40" s="154"/>
      <c r="L40" s="9"/>
      <c r="M40" s="206"/>
      <c r="N40" s="9"/>
      <c r="O40" s="33"/>
      <c r="P40" s="212"/>
      <c r="Q40" s="33"/>
      <c r="R40" s="33"/>
      <c r="S40" s="33"/>
      <c r="T40" s="21"/>
      <c r="U40" s="35"/>
      <c r="V40" s="217"/>
      <c r="W40" s="206"/>
      <c r="X40" s="206"/>
      <c r="Y40" s="9"/>
      <c r="Z40" s="206"/>
      <c r="AA40" s="206"/>
      <c r="AB40" s="206"/>
      <c r="AC40" s="206"/>
      <c r="AD40" s="206"/>
      <c r="AE40" s="9"/>
      <c r="AF40" s="9"/>
      <c r="AG40" s="34">
        <f t="shared" si="8"/>
        <v>0</v>
      </c>
      <c r="AH40" s="260">
        <f t="shared" si="5"/>
        <v>0</v>
      </c>
      <c r="AK40" s="235"/>
      <c r="AL40" s="217"/>
      <c r="AM40" s="206"/>
      <c r="AN40" s="206"/>
      <c r="AO40" s="9"/>
      <c r="AP40" s="206"/>
      <c r="AQ40" s="206"/>
      <c r="AR40" s="206"/>
      <c r="AS40" s="206"/>
      <c r="AT40" s="206"/>
      <c r="AU40" s="206"/>
      <c r="AV40" s="227"/>
      <c r="AW40" s="37">
        <f t="shared" si="9"/>
        <v>0</v>
      </c>
      <c r="AX40" s="263">
        <f t="shared" si="6"/>
        <v>0</v>
      </c>
      <c r="AZ40" s="502"/>
      <c r="BA40" s="207"/>
    </row>
    <row r="41" spans="1:53" ht="15">
      <c r="A41" s="573">
        <v>8</v>
      </c>
      <c r="B41" s="575" t="s">
        <v>76</v>
      </c>
      <c r="C41" s="581">
        <v>1615</v>
      </c>
      <c r="D41" s="577">
        <v>60982220</v>
      </c>
      <c r="E41" s="578">
        <f>+D41*E31</f>
        <v>42687554</v>
      </c>
      <c r="F41" s="579">
        <f>+D41*F31</f>
        <v>18294666</v>
      </c>
      <c r="G41" s="580"/>
      <c r="H41" s="319">
        <f t="shared" si="7"/>
        <v>60982220</v>
      </c>
      <c r="I41" s="154"/>
      <c r="J41" s="251"/>
      <c r="K41" s="154">
        <v>42687554</v>
      </c>
      <c r="L41" s="9"/>
      <c r="M41" s="206"/>
      <c r="N41" s="9"/>
      <c r="O41" s="33"/>
      <c r="P41" s="212"/>
      <c r="Q41" s="33"/>
      <c r="R41" s="33">
        <v>18294666</v>
      </c>
      <c r="S41" s="33"/>
      <c r="T41" s="21"/>
      <c r="U41" s="35"/>
      <c r="V41" s="217"/>
      <c r="W41" s="206">
        <v>42687554</v>
      </c>
      <c r="X41" s="206"/>
      <c r="Y41" s="9"/>
      <c r="Z41" s="206"/>
      <c r="AA41" s="206"/>
      <c r="AB41" s="206"/>
      <c r="AC41" s="206"/>
      <c r="AD41" s="206">
        <v>18294666</v>
      </c>
      <c r="AE41" s="9"/>
      <c r="AF41" s="9"/>
      <c r="AG41" s="34">
        <f t="shared" si="8"/>
        <v>60982220</v>
      </c>
      <c r="AH41" s="260">
        <f t="shared" si="5"/>
        <v>0</v>
      </c>
      <c r="AK41" s="235"/>
      <c r="AL41" s="217"/>
      <c r="AM41" s="206"/>
      <c r="AN41" s="206"/>
      <c r="AO41" s="9"/>
      <c r="AP41" s="206"/>
      <c r="AQ41" s="206">
        <v>27148275</v>
      </c>
      <c r="AR41" s="206">
        <v>11627474</v>
      </c>
      <c r="AS41" s="206">
        <v>6435067</v>
      </c>
      <c r="AT41" s="206"/>
      <c r="AU41" s="206"/>
      <c r="AV41" s="227"/>
      <c r="AW41" s="37">
        <f t="shared" si="9"/>
        <v>45210816</v>
      </c>
      <c r="AX41" s="263">
        <f t="shared" si="6"/>
        <v>15771404</v>
      </c>
    </row>
    <row r="42" spans="1:53" ht="15">
      <c r="A42" s="18">
        <v>9</v>
      </c>
      <c r="B42" s="66" t="s">
        <v>77</v>
      </c>
      <c r="C42" s="137"/>
      <c r="D42" s="13"/>
      <c r="E42" s="142"/>
      <c r="F42" s="143"/>
      <c r="G42" s="160"/>
      <c r="H42" s="319">
        <f t="shared" si="7"/>
        <v>0</v>
      </c>
      <c r="I42" s="154"/>
      <c r="J42" s="251"/>
      <c r="K42" s="154"/>
      <c r="L42" s="9"/>
      <c r="M42" s="206"/>
      <c r="N42" s="9"/>
      <c r="O42" s="33"/>
      <c r="P42" s="212"/>
      <c r="Q42" s="33"/>
      <c r="R42" s="33"/>
      <c r="S42" s="33"/>
      <c r="T42" s="21"/>
      <c r="U42" s="35"/>
      <c r="V42" s="217"/>
      <c r="W42" s="206"/>
      <c r="X42" s="206"/>
      <c r="Y42" s="9"/>
      <c r="Z42" s="206"/>
      <c r="AA42" s="206"/>
      <c r="AB42" s="206"/>
      <c r="AC42" s="206"/>
      <c r="AD42" s="206"/>
      <c r="AE42" s="9"/>
      <c r="AF42" s="9"/>
      <c r="AG42" s="12">
        <f t="shared" si="8"/>
        <v>0</v>
      </c>
      <c r="AH42" s="260">
        <f t="shared" si="5"/>
        <v>0</v>
      </c>
      <c r="AK42" s="235"/>
      <c r="AL42" s="217"/>
      <c r="AM42" s="206"/>
      <c r="AN42" s="206"/>
      <c r="AO42" s="9"/>
      <c r="AP42" s="206"/>
      <c r="AQ42" s="206"/>
      <c r="AR42" s="206"/>
      <c r="AS42" s="206"/>
      <c r="AT42" s="206"/>
      <c r="AU42" s="206"/>
      <c r="AV42" s="227"/>
      <c r="AW42" s="445">
        <f t="shared" si="9"/>
        <v>0</v>
      </c>
      <c r="AX42" s="263">
        <f t="shared" si="6"/>
        <v>0</v>
      </c>
    </row>
    <row r="43" spans="1:53" ht="15">
      <c r="A43" s="573">
        <v>10</v>
      </c>
      <c r="B43" s="575" t="s">
        <v>104</v>
      </c>
      <c r="C43" s="581" t="s">
        <v>272</v>
      </c>
      <c r="D43" s="577">
        <f>59116908+38278</f>
        <v>59155186</v>
      </c>
      <c r="E43" s="578">
        <f>+D43*E31</f>
        <v>41408630.199999996</v>
      </c>
      <c r="F43" s="579">
        <f>+D43*F31</f>
        <v>17746555.800000001</v>
      </c>
      <c r="G43" s="580"/>
      <c r="H43" s="319">
        <f t="shared" si="7"/>
        <v>59116908</v>
      </c>
      <c r="I43" s="154"/>
      <c r="J43" s="251"/>
      <c r="K43" s="154"/>
      <c r="L43" s="9"/>
      <c r="M43" s="206">
        <v>41381836</v>
      </c>
      <c r="N43" s="9"/>
      <c r="O43" s="33"/>
      <c r="P43" s="212"/>
      <c r="Q43" s="33"/>
      <c r="R43" s="33">
        <v>17735072</v>
      </c>
      <c r="S43" s="33"/>
      <c r="T43" s="21"/>
      <c r="U43" s="35"/>
      <c r="V43" s="217"/>
      <c r="W43" s="206"/>
      <c r="X43" s="206"/>
      <c r="Y43" s="9">
        <v>41381836</v>
      </c>
      <c r="Z43" s="206"/>
      <c r="AA43" s="206"/>
      <c r="AB43" s="206"/>
      <c r="AC43" s="206"/>
      <c r="AD43" s="206">
        <v>17735072</v>
      </c>
      <c r="AE43" s="9"/>
      <c r="AF43" s="9"/>
      <c r="AG43" s="12">
        <f t="shared" si="8"/>
        <v>59116908</v>
      </c>
      <c r="AH43" s="260">
        <f t="shared" si="5"/>
        <v>0</v>
      </c>
      <c r="AK43" s="235"/>
      <c r="AL43" s="217"/>
      <c r="AM43" s="206"/>
      <c r="AN43" s="206"/>
      <c r="AO43" s="9"/>
      <c r="AP43" s="206"/>
      <c r="AQ43" s="206">
        <v>25470894</v>
      </c>
      <c r="AR43" s="206">
        <v>3799254</v>
      </c>
      <c r="AS43" s="206"/>
      <c r="AT43" s="206">
        <v>14955879</v>
      </c>
      <c r="AU43" s="206"/>
      <c r="AV43" s="227">
        <v>5627475</v>
      </c>
      <c r="AW43" s="445">
        <f t="shared" si="9"/>
        <v>49853502</v>
      </c>
      <c r="AX43" s="263">
        <f t="shared" si="6"/>
        <v>9263406</v>
      </c>
    </row>
    <row r="44" spans="1:53" ht="15">
      <c r="A44" s="573">
        <v>11</v>
      </c>
      <c r="B44" s="575" t="s">
        <v>78</v>
      </c>
      <c r="C44" s="581">
        <v>1301</v>
      </c>
      <c r="D44" s="577">
        <v>18350755</v>
      </c>
      <c r="E44" s="142">
        <f>+D44*E31</f>
        <v>12845528.5</v>
      </c>
      <c r="F44" s="143">
        <f>+D44*F31</f>
        <v>5505226.5</v>
      </c>
      <c r="G44" s="160"/>
      <c r="H44" s="319">
        <f t="shared" si="7"/>
        <v>18350755</v>
      </c>
      <c r="I44" s="154"/>
      <c r="J44" s="221"/>
      <c r="K44" s="154"/>
      <c r="L44" s="9"/>
      <c r="M44" s="206">
        <v>12845528.5</v>
      </c>
      <c r="N44" s="9"/>
      <c r="O44" s="33"/>
      <c r="P44" s="212"/>
      <c r="Q44" s="33"/>
      <c r="R44" s="33"/>
      <c r="S44" s="33"/>
      <c r="T44" s="21">
        <v>5505226.5</v>
      </c>
      <c r="U44" s="35"/>
      <c r="V44" s="217"/>
      <c r="W44" s="206"/>
      <c r="X44" s="206"/>
      <c r="Y44" s="9">
        <v>12845528.5</v>
      </c>
      <c r="Z44" s="206"/>
      <c r="AA44" s="206"/>
      <c r="AB44" s="206"/>
      <c r="AC44" s="206"/>
      <c r="AD44" s="206"/>
      <c r="AE44" s="9"/>
      <c r="AF44" s="9">
        <v>5505226.5</v>
      </c>
      <c r="AG44" s="12">
        <f t="shared" si="8"/>
        <v>18350755</v>
      </c>
      <c r="AH44" s="260">
        <f t="shared" si="5"/>
        <v>0</v>
      </c>
      <c r="AK44" s="235"/>
      <c r="AL44" s="217"/>
      <c r="AM44" s="206"/>
      <c r="AN44" s="206"/>
      <c r="AO44" s="9"/>
      <c r="AP44" s="206"/>
      <c r="AQ44" s="206"/>
      <c r="AR44" s="206"/>
      <c r="AS44" s="206">
        <v>4534950</v>
      </c>
      <c r="AT44" s="206"/>
      <c r="AU44" s="206"/>
      <c r="AV44" s="227">
        <v>5682707</v>
      </c>
      <c r="AW44" s="445">
        <f t="shared" si="9"/>
        <v>10217657</v>
      </c>
      <c r="AX44" s="263">
        <f t="shared" si="6"/>
        <v>8133098</v>
      </c>
    </row>
    <row r="45" spans="1:53" ht="15">
      <c r="A45" s="573">
        <v>12</v>
      </c>
      <c r="B45" s="619" t="s">
        <v>79</v>
      </c>
      <c r="C45" s="581" t="s">
        <v>270</v>
      </c>
      <c r="D45" s="577">
        <v>73220377</v>
      </c>
      <c r="E45" s="578">
        <f>+D45*E31</f>
        <v>51254263.899999999</v>
      </c>
      <c r="F45" s="579">
        <f>+D45*F31</f>
        <v>21966113.099999998</v>
      </c>
      <c r="G45" s="580"/>
      <c r="H45" s="319">
        <f t="shared" si="7"/>
        <v>73220377</v>
      </c>
      <c r="I45" s="154"/>
      <c r="J45" s="221"/>
      <c r="K45" s="154">
        <v>51254264</v>
      </c>
      <c r="L45" s="9"/>
      <c r="M45" s="206"/>
      <c r="N45" s="9"/>
      <c r="O45" s="33"/>
      <c r="P45" s="212"/>
      <c r="Q45" s="33"/>
      <c r="R45" s="33">
        <v>21966113</v>
      </c>
      <c r="S45" s="33"/>
      <c r="T45" s="21"/>
      <c r="U45" s="35"/>
      <c r="V45" s="217"/>
      <c r="W45" s="206">
        <v>51254264</v>
      </c>
      <c r="X45" s="206"/>
      <c r="Y45" s="9"/>
      <c r="Z45" s="206"/>
      <c r="AA45" s="206"/>
      <c r="AB45" s="206"/>
      <c r="AC45" s="206"/>
      <c r="AD45" s="206">
        <v>21966113</v>
      </c>
      <c r="AE45" s="9"/>
      <c r="AF45" s="9"/>
      <c r="AG45" s="12">
        <f t="shared" si="8"/>
        <v>73220377</v>
      </c>
      <c r="AH45" s="261">
        <f t="shared" si="5"/>
        <v>0</v>
      </c>
      <c r="AK45" s="235"/>
      <c r="AL45" s="217"/>
      <c r="AM45" s="206"/>
      <c r="AN45" s="206"/>
      <c r="AO45" s="9"/>
      <c r="AP45" s="206"/>
      <c r="AQ45" s="206"/>
      <c r="AR45" s="206">
        <v>39579814</v>
      </c>
      <c r="AS45" s="206"/>
      <c r="AT45" s="206"/>
      <c r="AU45" s="206">
        <v>12351099</v>
      </c>
      <c r="AV45" s="227"/>
      <c r="AW45" s="445">
        <f t="shared" si="9"/>
        <v>51930913</v>
      </c>
      <c r="AX45" s="263">
        <f t="shared" si="6"/>
        <v>21289464</v>
      </c>
    </row>
    <row r="46" spans="1:53" ht="15">
      <c r="A46" s="18">
        <v>13</v>
      </c>
      <c r="B46" s="7" t="s">
        <v>80</v>
      </c>
      <c r="C46" s="137"/>
      <c r="D46" s="13"/>
      <c r="E46" s="142"/>
      <c r="F46" s="143"/>
      <c r="G46" s="160"/>
      <c r="H46" s="319">
        <f t="shared" si="7"/>
        <v>0</v>
      </c>
      <c r="I46" s="154"/>
      <c r="J46" s="221"/>
      <c r="K46" s="154"/>
      <c r="L46" s="9"/>
      <c r="M46" s="206"/>
      <c r="N46" s="9"/>
      <c r="O46" s="33"/>
      <c r="P46" s="212"/>
      <c r="Q46" s="33"/>
      <c r="R46" s="33"/>
      <c r="S46" s="33"/>
      <c r="T46" s="21"/>
      <c r="U46" s="42">
        <f>SUM(U34:U45)</f>
        <v>0</v>
      </c>
      <c r="V46" s="213"/>
      <c r="W46" s="213"/>
      <c r="X46" s="213"/>
      <c r="Y46" s="67"/>
      <c r="Z46" s="213"/>
      <c r="AA46" s="213"/>
      <c r="AB46" s="213"/>
      <c r="AC46" s="213"/>
      <c r="AD46" s="213"/>
      <c r="AE46" s="67"/>
      <c r="AF46" s="67"/>
      <c r="AG46" s="12">
        <f>SUM(U46:AF46)</f>
        <v>0</v>
      </c>
      <c r="AH46" s="263">
        <f t="shared" si="5"/>
        <v>0</v>
      </c>
      <c r="AK46" s="239"/>
      <c r="AL46" s="213"/>
      <c r="AM46" s="213"/>
      <c r="AN46" s="213"/>
      <c r="AO46" s="67"/>
      <c r="AP46" s="213"/>
      <c r="AQ46" s="213"/>
      <c r="AR46" s="213"/>
      <c r="AS46" s="213"/>
      <c r="AT46" s="213"/>
      <c r="AU46" s="213"/>
      <c r="AV46" s="437"/>
      <c r="AW46" s="445">
        <f>SUM(AK46:AV46)</f>
        <v>0</v>
      </c>
      <c r="AX46" s="263">
        <f t="shared" si="6"/>
        <v>0</v>
      </c>
    </row>
    <row r="47" spans="1:53" ht="15">
      <c r="A47" s="573">
        <v>14</v>
      </c>
      <c r="B47" s="575" t="s">
        <v>81</v>
      </c>
      <c r="C47" s="581">
        <v>1732</v>
      </c>
      <c r="D47" s="577">
        <v>70501335</v>
      </c>
      <c r="E47" s="578">
        <f>+D47*E31</f>
        <v>49350934.5</v>
      </c>
      <c r="F47" s="579">
        <f>+D47*F31</f>
        <v>21150400.5</v>
      </c>
      <c r="G47" s="580"/>
      <c r="H47" s="319">
        <f t="shared" si="7"/>
        <v>70501335</v>
      </c>
      <c r="I47" s="154"/>
      <c r="J47" s="221"/>
      <c r="K47" s="154">
        <v>49350934</v>
      </c>
      <c r="L47" s="9"/>
      <c r="M47" s="206"/>
      <c r="N47" s="9"/>
      <c r="O47" s="33"/>
      <c r="P47" s="212"/>
      <c r="Q47" s="33"/>
      <c r="R47" s="33">
        <v>21150401</v>
      </c>
      <c r="S47" s="33"/>
      <c r="T47" s="21"/>
      <c r="U47" s="68"/>
      <c r="V47" s="206"/>
      <c r="W47" s="206">
        <v>49350934</v>
      </c>
      <c r="X47" s="206"/>
      <c r="Y47" s="9"/>
      <c r="Z47" s="206"/>
      <c r="AA47" s="206"/>
      <c r="AB47" s="206"/>
      <c r="AC47" s="206"/>
      <c r="AD47" s="206">
        <v>21150401</v>
      </c>
      <c r="AE47" s="9"/>
      <c r="AF47" s="9"/>
      <c r="AG47" s="12">
        <f t="shared" si="8"/>
        <v>70501335</v>
      </c>
      <c r="AH47" s="263">
        <f t="shared" si="5"/>
        <v>0</v>
      </c>
      <c r="AK47" s="235"/>
      <c r="AL47" s="206"/>
      <c r="AM47" s="206"/>
      <c r="AN47" s="206"/>
      <c r="AO47" s="9"/>
      <c r="AP47" s="206"/>
      <c r="AQ47" s="206"/>
      <c r="AR47" s="206">
        <v>4861127</v>
      </c>
      <c r="AS47" s="206"/>
      <c r="AT47" s="206"/>
      <c r="AU47" s="206">
        <v>3294216</v>
      </c>
      <c r="AV47" s="227"/>
      <c r="AW47" s="445">
        <f t="shared" ref="AW47:AW67" si="10">SUM(AK47:AV47)</f>
        <v>8155343</v>
      </c>
      <c r="AX47" s="263">
        <f t="shared" si="6"/>
        <v>62345992</v>
      </c>
    </row>
    <row r="48" spans="1:53" ht="15">
      <c r="A48" s="18">
        <v>15</v>
      </c>
      <c r="B48" s="7" t="s">
        <v>82</v>
      </c>
      <c r="C48" s="137"/>
      <c r="D48" s="13"/>
      <c r="E48" s="142"/>
      <c r="F48" s="143"/>
      <c r="G48" s="160"/>
      <c r="H48" s="319">
        <f t="shared" si="7"/>
        <v>0</v>
      </c>
      <c r="I48" s="154"/>
      <c r="J48" s="221"/>
      <c r="K48" s="154"/>
      <c r="L48" s="9"/>
      <c r="M48" s="206"/>
      <c r="N48" s="9"/>
      <c r="O48" s="33"/>
      <c r="P48" s="212"/>
      <c r="Q48" s="33"/>
      <c r="R48" s="33"/>
      <c r="S48" s="33"/>
      <c r="T48" s="21"/>
      <c r="U48" s="68"/>
      <c r="V48" s="206"/>
      <c r="W48" s="206"/>
      <c r="X48" s="206"/>
      <c r="Y48" s="9"/>
      <c r="Z48" s="206"/>
      <c r="AA48" s="206"/>
      <c r="AB48" s="206"/>
      <c r="AC48" s="206"/>
      <c r="AD48" s="206"/>
      <c r="AE48" s="9"/>
      <c r="AF48" s="9"/>
      <c r="AG48" s="12">
        <f t="shared" si="8"/>
        <v>0</v>
      </c>
      <c r="AH48" s="263">
        <f t="shared" si="5"/>
        <v>0</v>
      </c>
      <c r="AK48" s="235"/>
      <c r="AL48" s="206"/>
      <c r="AM48" s="206"/>
      <c r="AN48" s="206"/>
      <c r="AO48" s="9"/>
      <c r="AP48" s="206"/>
      <c r="AQ48" s="206"/>
      <c r="AR48" s="206"/>
      <c r="AS48" s="206"/>
      <c r="AT48" s="206"/>
      <c r="AU48" s="206"/>
      <c r="AV48" s="227"/>
      <c r="AW48" s="445">
        <f t="shared" si="10"/>
        <v>0</v>
      </c>
      <c r="AX48" s="263">
        <f t="shared" si="6"/>
        <v>0</v>
      </c>
    </row>
    <row r="49" spans="1:53" ht="15">
      <c r="A49" s="573">
        <v>16</v>
      </c>
      <c r="B49" s="575" t="s">
        <v>83</v>
      </c>
      <c r="C49" s="581">
        <v>1733</v>
      </c>
      <c r="D49" s="577">
        <v>25676048</v>
      </c>
      <c r="E49" s="578">
        <f>+D49*E31</f>
        <v>17973233.599999998</v>
      </c>
      <c r="F49" s="579">
        <f>+D49*F31</f>
        <v>7702814.3999999994</v>
      </c>
      <c r="G49" s="580"/>
      <c r="H49" s="319">
        <f t="shared" si="7"/>
        <v>25676048</v>
      </c>
      <c r="I49" s="154"/>
      <c r="J49" s="221"/>
      <c r="K49" s="154">
        <v>17973233</v>
      </c>
      <c r="L49" s="9"/>
      <c r="M49" s="206"/>
      <c r="N49" s="9"/>
      <c r="O49" s="33"/>
      <c r="P49" s="212"/>
      <c r="Q49" s="33"/>
      <c r="R49" s="33">
        <v>7702815</v>
      </c>
      <c r="S49" s="33"/>
      <c r="T49" s="21"/>
      <c r="U49" s="68"/>
      <c r="V49" s="206"/>
      <c r="W49" s="206">
        <v>17973233</v>
      </c>
      <c r="X49" s="206"/>
      <c r="Y49" s="9"/>
      <c r="Z49" s="206"/>
      <c r="AA49" s="206"/>
      <c r="AB49" s="206"/>
      <c r="AC49" s="206"/>
      <c r="AD49" s="206"/>
      <c r="AE49" s="9">
        <v>7702815</v>
      </c>
      <c r="AF49" s="9"/>
      <c r="AG49" s="12">
        <f t="shared" si="8"/>
        <v>25676048</v>
      </c>
      <c r="AH49" s="263">
        <f t="shared" si="5"/>
        <v>0</v>
      </c>
      <c r="AK49" s="235"/>
      <c r="AL49" s="206"/>
      <c r="AM49" s="206"/>
      <c r="AN49" s="206"/>
      <c r="AO49" s="9"/>
      <c r="AP49" s="206"/>
      <c r="AQ49" s="206">
        <v>12436866</v>
      </c>
      <c r="AR49" s="206"/>
      <c r="AS49" s="206">
        <v>7535971</v>
      </c>
      <c r="AT49" s="206"/>
      <c r="AU49" s="206"/>
      <c r="AV49" s="227">
        <v>5568678</v>
      </c>
      <c r="AW49" s="445">
        <f t="shared" si="10"/>
        <v>25541515</v>
      </c>
      <c r="AX49" s="263">
        <f t="shared" si="6"/>
        <v>134533</v>
      </c>
    </row>
    <row r="50" spans="1:53" ht="15">
      <c r="A50" s="573">
        <v>17</v>
      </c>
      <c r="B50" s="575" t="s">
        <v>95</v>
      </c>
      <c r="C50" s="581" t="s">
        <v>271</v>
      </c>
      <c r="D50" s="577">
        <v>10079355</v>
      </c>
      <c r="E50" s="578">
        <f t="shared" ref="E50:E55" si="11">+D50*$E$31</f>
        <v>7055548.5</v>
      </c>
      <c r="F50" s="579">
        <f t="shared" ref="F50:F55" si="12">+D50*$F$31</f>
        <v>3023806.5</v>
      </c>
      <c r="G50" s="669"/>
      <c r="H50" s="319">
        <f t="shared" si="7"/>
        <v>10079355</v>
      </c>
      <c r="I50" s="154"/>
      <c r="J50" s="221"/>
      <c r="K50" s="154">
        <v>7055548.5</v>
      </c>
      <c r="L50" s="9"/>
      <c r="M50" s="206"/>
      <c r="N50" s="9"/>
      <c r="O50" s="33"/>
      <c r="P50" s="212"/>
      <c r="Q50" s="33"/>
      <c r="R50" s="33">
        <v>1104733.4079220213</v>
      </c>
      <c r="S50" s="33">
        <v>1919073.0920779789</v>
      </c>
      <c r="T50" s="21"/>
      <c r="U50" s="68"/>
      <c r="V50" s="206"/>
      <c r="W50" s="206">
        <v>7055548.5</v>
      </c>
      <c r="X50" s="206"/>
      <c r="Y50" s="9"/>
      <c r="Z50" s="206"/>
      <c r="AA50" s="206"/>
      <c r="AB50" s="206"/>
      <c r="AC50" s="206"/>
      <c r="AD50" s="206">
        <v>1104733.4079220213</v>
      </c>
      <c r="AE50" s="9">
        <v>1919073.0920779789</v>
      </c>
      <c r="AF50" s="9"/>
      <c r="AG50" s="12">
        <f t="shared" si="8"/>
        <v>10079355</v>
      </c>
      <c r="AH50" s="263">
        <f t="shared" si="5"/>
        <v>0</v>
      </c>
      <c r="AI50" s="6"/>
      <c r="AJ50" s="6"/>
      <c r="AK50" s="235"/>
      <c r="AL50" s="206"/>
      <c r="AM50" s="206"/>
      <c r="AN50" s="206"/>
      <c r="AO50" s="9"/>
      <c r="AP50" s="206"/>
      <c r="AQ50" s="206"/>
      <c r="AR50" s="206">
        <v>5273771.910604272</v>
      </c>
      <c r="AS50" s="206"/>
      <c r="AT50" s="206"/>
      <c r="AU50" s="206"/>
      <c r="AV50" s="227"/>
      <c r="AW50" s="445">
        <f t="shared" si="10"/>
        <v>5273771.910604272</v>
      </c>
      <c r="AX50" s="263">
        <f t="shared" si="6"/>
        <v>4805583.089395728</v>
      </c>
    </row>
    <row r="51" spans="1:53" ht="15">
      <c r="A51" s="573">
        <v>18</v>
      </c>
      <c r="B51" s="575" t="s">
        <v>96</v>
      </c>
      <c r="C51" s="581" t="s">
        <v>271</v>
      </c>
      <c r="D51" s="577">
        <v>62675262</v>
      </c>
      <c r="E51" s="578">
        <f t="shared" si="11"/>
        <v>43872683.399999999</v>
      </c>
      <c r="F51" s="579">
        <f t="shared" si="12"/>
        <v>18802578.599999998</v>
      </c>
      <c r="G51" s="669"/>
      <c r="H51" s="319">
        <f t="shared" si="7"/>
        <v>62675262</v>
      </c>
      <c r="I51" s="154"/>
      <c r="J51" s="221"/>
      <c r="K51" s="154">
        <v>43872683.399999999</v>
      </c>
      <c r="L51" s="9"/>
      <c r="M51" s="206"/>
      <c r="N51" s="9"/>
      <c r="O51" s="33"/>
      <c r="P51" s="212"/>
      <c r="Q51" s="33"/>
      <c r="R51" s="33">
        <v>8082476.6664179647</v>
      </c>
      <c r="S51" s="33">
        <v>10720101.933582038</v>
      </c>
      <c r="T51" s="21"/>
      <c r="U51" s="68"/>
      <c r="V51" s="206"/>
      <c r="W51" s="206">
        <v>43872683.399999999</v>
      </c>
      <c r="X51" s="206"/>
      <c r="Y51" s="9"/>
      <c r="Z51" s="206"/>
      <c r="AA51" s="206"/>
      <c r="AB51" s="206"/>
      <c r="AC51" s="206"/>
      <c r="AD51" s="206">
        <v>8082476.6664179647</v>
      </c>
      <c r="AE51" s="9">
        <v>10720101.933582038</v>
      </c>
      <c r="AF51" s="9"/>
      <c r="AG51" s="12">
        <f t="shared" si="8"/>
        <v>62675262</v>
      </c>
      <c r="AH51" s="263">
        <f t="shared" si="5"/>
        <v>0</v>
      </c>
      <c r="AI51" s="6"/>
      <c r="AJ51" s="6"/>
      <c r="AK51" s="235"/>
      <c r="AL51" s="206"/>
      <c r="AM51" s="206"/>
      <c r="AN51" s="206"/>
      <c r="AO51" s="9"/>
      <c r="AP51" s="206"/>
      <c r="AQ51" s="206"/>
      <c r="AR51" s="206">
        <v>32793272.607757472</v>
      </c>
      <c r="AS51" s="206"/>
      <c r="AT51" s="206"/>
      <c r="AU51" s="206">
        <v>12097388</v>
      </c>
      <c r="AV51" s="227"/>
      <c r="AW51" s="445">
        <f t="shared" si="10"/>
        <v>44890660.607757472</v>
      </c>
      <c r="AX51" s="263">
        <f t="shared" si="6"/>
        <v>17784601.392242528</v>
      </c>
      <c r="AY51" s="473"/>
      <c r="AZ51" s="149"/>
    </row>
    <row r="52" spans="1:53" ht="15">
      <c r="A52" s="573">
        <v>19</v>
      </c>
      <c r="B52" s="575" t="s">
        <v>97</v>
      </c>
      <c r="C52" s="581" t="s">
        <v>271</v>
      </c>
      <c r="D52" s="577">
        <v>3991260</v>
      </c>
      <c r="E52" s="578">
        <f t="shared" si="11"/>
        <v>2793882</v>
      </c>
      <c r="F52" s="579">
        <f t="shared" si="12"/>
        <v>1197378</v>
      </c>
      <c r="G52" s="669"/>
      <c r="H52" s="319">
        <f t="shared" si="7"/>
        <v>3991260</v>
      </c>
      <c r="I52" s="154"/>
      <c r="J52" s="221"/>
      <c r="K52" s="154">
        <v>2793882</v>
      </c>
      <c r="L52" s="9"/>
      <c r="M52" s="206"/>
      <c r="N52" s="9"/>
      <c r="O52" s="33"/>
      <c r="P52" s="212"/>
      <c r="Q52" s="33"/>
      <c r="R52" s="33">
        <v>1197378</v>
      </c>
      <c r="S52" s="33"/>
      <c r="T52" s="21"/>
      <c r="U52" s="68"/>
      <c r="V52" s="206"/>
      <c r="W52" s="206">
        <v>2793882</v>
      </c>
      <c r="X52" s="206"/>
      <c r="Y52" s="9"/>
      <c r="Z52" s="206"/>
      <c r="AA52" s="206"/>
      <c r="AB52" s="206"/>
      <c r="AC52" s="206"/>
      <c r="AD52" s="206">
        <v>1197378</v>
      </c>
      <c r="AE52" s="9"/>
      <c r="AF52" s="9"/>
      <c r="AG52" s="12">
        <f t="shared" si="8"/>
        <v>3991260</v>
      </c>
      <c r="AH52" s="263">
        <f t="shared" si="5"/>
        <v>0</v>
      </c>
      <c r="AI52" s="6"/>
      <c r="AJ52" s="6"/>
      <c r="AK52" s="235"/>
      <c r="AL52" s="206"/>
      <c r="AM52" s="206"/>
      <c r="AN52" s="206"/>
      <c r="AO52" s="9"/>
      <c r="AP52" s="206"/>
      <c r="AQ52" s="206"/>
      <c r="AR52" s="206">
        <v>2088327.5642060831</v>
      </c>
      <c r="AS52" s="206"/>
      <c r="AT52" s="206"/>
      <c r="AU52" s="206"/>
      <c r="AV52" s="227"/>
      <c r="AW52" s="445">
        <f t="shared" si="10"/>
        <v>2088327.5642060831</v>
      </c>
      <c r="AX52" s="263">
        <f t="shared" si="6"/>
        <v>1902932.4357939169</v>
      </c>
      <c r="AY52" s="207"/>
      <c r="AZ52" s="502"/>
      <c r="BA52" s="207"/>
    </row>
    <row r="53" spans="1:53" ht="15">
      <c r="A53" s="573">
        <v>20</v>
      </c>
      <c r="B53" s="575" t="s">
        <v>98</v>
      </c>
      <c r="C53" s="581" t="s">
        <v>271</v>
      </c>
      <c r="D53" s="577">
        <v>5139277</v>
      </c>
      <c r="E53" s="578">
        <f t="shared" si="11"/>
        <v>3597493.9</v>
      </c>
      <c r="F53" s="579">
        <f t="shared" si="12"/>
        <v>1541783.0999999999</v>
      </c>
      <c r="G53" s="669"/>
      <c r="H53" s="319">
        <f t="shared" si="7"/>
        <v>5139277</v>
      </c>
      <c r="I53" s="154"/>
      <c r="J53" s="221"/>
      <c r="K53" s="154">
        <v>3597493.9</v>
      </c>
      <c r="L53" s="9"/>
      <c r="M53" s="206"/>
      <c r="N53" s="9"/>
      <c r="O53" s="33"/>
      <c r="P53" s="212"/>
      <c r="Q53" s="33"/>
      <c r="R53" s="33">
        <v>391922.92566001398</v>
      </c>
      <c r="S53" s="33">
        <v>1149860.1743399859</v>
      </c>
      <c r="T53" s="21"/>
      <c r="U53" s="68"/>
      <c r="V53" s="206"/>
      <c r="W53" s="206">
        <v>3597493.9</v>
      </c>
      <c r="X53" s="206"/>
      <c r="Y53" s="9"/>
      <c r="Z53" s="206"/>
      <c r="AA53" s="206"/>
      <c r="AB53" s="206"/>
      <c r="AC53" s="206"/>
      <c r="AD53" s="206">
        <v>391922.92566001398</v>
      </c>
      <c r="AE53" s="9">
        <v>1149860.1743399859</v>
      </c>
      <c r="AF53" s="9"/>
      <c r="AG53" s="12">
        <f t="shared" si="8"/>
        <v>5139277</v>
      </c>
      <c r="AH53" s="263">
        <f t="shared" si="5"/>
        <v>0</v>
      </c>
      <c r="AI53" s="6"/>
      <c r="AJ53" s="6"/>
      <c r="AK53" s="235"/>
      <c r="AL53" s="206"/>
      <c r="AM53" s="206"/>
      <c r="AN53" s="206"/>
      <c r="AO53" s="9"/>
      <c r="AP53" s="206"/>
      <c r="AQ53" s="206"/>
      <c r="AR53" s="206">
        <v>2688998.9174321759</v>
      </c>
      <c r="AS53" s="206"/>
      <c r="AT53" s="206"/>
      <c r="AU53" s="206"/>
      <c r="AV53" s="227"/>
      <c r="AW53" s="445">
        <f t="shared" si="10"/>
        <v>2688998.9174321759</v>
      </c>
      <c r="AX53" s="263">
        <f t="shared" si="6"/>
        <v>2450278.0825678241</v>
      </c>
      <c r="AZ53" s="502"/>
      <c r="BA53" s="207"/>
    </row>
    <row r="54" spans="1:53" ht="15">
      <c r="A54" s="573">
        <v>21</v>
      </c>
      <c r="B54" s="575" t="s">
        <v>84</v>
      </c>
      <c r="C54" s="581" t="s">
        <v>227</v>
      </c>
      <c r="D54" s="577">
        <f>8917992+38278</f>
        <v>8956270</v>
      </c>
      <c r="E54" s="578">
        <f t="shared" si="11"/>
        <v>6269389</v>
      </c>
      <c r="F54" s="579">
        <f t="shared" si="12"/>
        <v>2686881</v>
      </c>
      <c r="G54" s="580"/>
      <c r="H54" s="319">
        <f t="shared" si="7"/>
        <v>8956270</v>
      </c>
      <c r="I54" s="154"/>
      <c r="J54" s="221"/>
      <c r="K54" s="154"/>
      <c r="L54" s="9">
        <v>6242594</v>
      </c>
      <c r="M54" s="206"/>
      <c r="N54" s="9"/>
      <c r="O54" s="33">
        <v>26795</v>
      </c>
      <c r="P54" s="212"/>
      <c r="Q54" s="33"/>
      <c r="R54" s="33">
        <v>2686881</v>
      </c>
      <c r="S54" s="33"/>
      <c r="T54" s="21"/>
      <c r="U54" s="68"/>
      <c r="V54" s="206"/>
      <c r="W54" s="206"/>
      <c r="X54" s="206">
        <v>6242594</v>
      </c>
      <c r="Y54" s="9"/>
      <c r="Z54" s="206"/>
      <c r="AA54" s="206">
        <v>26795</v>
      </c>
      <c r="AB54" s="206"/>
      <c r="AC54" s="206"/>
      <c r="AD54" s="206">
        <v>2686881</v>
      </c>
      <c r="AE54" s="9"/>
      <c r="AF54" s="9"/>
      <c r="AG54" s="12">
        <f t="shared" si="8"/>
        <v>8956270</v>
      </c>
      <c r="AH54" s="263">
        <f t="shared" si="5"/>
        <v>0</v>
      </c>
      <c r="AI54" s="170"/>
      <c r="AK54" s="235"/>
      <c r="AL54" s="206"/>
      <c r="AM54" s="206"/>
      <c r="AN54" s="206"/>
      <c r="AO54" s="9"/>
      <c r="AP54" s="206"/>
      <c r="AQ54" s="206">
        <v>4716461</v>
      </c>
      <c r="AR54" s="206"/>
      <c r="AS54" s="206">
        <v>1720442</v>
      </c>
      <c r="AT54" s="206"/>
      <c r="AU54" s="206"/>
      <c r="AV54" s="227">
        <v>1969222</v>
      </c>
      <c r="AW54" s="445">
        <f t="shared" si="10"/>
        <v>8406125</v>
      </c>
      <c r="AX54" s="263">
        <f t="shared" si="6"/>
        <v>550145</v>
      </c>
      <c r="AZ54" s="502"/>
      <c r="BA54" s="207"/>
    </row>
    <row r="55" spans="1:53" ht="15">
      <c r="A55" s="573">
        <v>22</v>
      </c>
      <c r="B55" s="575" t="s">
        <v>85</v>
      </c>
      <c r="C55" s="581">
        <v>3110</v>
      </c>
      <c r="D55" s="577">
        <v>6548268</v>
      </c>
      <c r="E55" s="578">
        <f t="shared" si="11"/>
        <v>4583787.5999999996</v>
      </c>
      <c r="F55" s="579">
        <f t="shared" si="12"/>
        <v>1964480.4</v>
      </c>
      <c r="G55" s="580"/>
      <c r="H55" s="319">
        <f t="shared" si="7"/>
        <v>6548268</v>
      </c>
      <c r="I55" s="154"/>
      <c r="J55" s="221"/>
      <c r="K55" s="154"/>
      <c r="L55" s="9"/>
      <c r="M55" s="206"/>
      <c r="N55" s="9">
        <v>4583787</v>
      </c>
      <c r="O55" s="33"/>
      <c r="P55" s="212"/>
      <c r="Q55" s="33"/>
      <c r="R55" s="33">
        <v>1964481</v>
      </c>
      <c r="S55" s="33"/>
      <c r="T55" s="21"/>
      <c r="U55" s="68"/>
      <c r="V55" s="206"/>
      <c r="W55" s="206"/>
      <c r="X55" s="206"/>
      <c r="Y55" s="9"/>
      <c r="Z55" s="206">
        <v>4583787</v>
      </c>
      <c r="AA55" s="206"/>
      <c r="AB55" s="206"/>
      <c r="AC55" s="206"/>
      <c r="AD55" s="206">
        <v>1964481</v>
      </c>
      <c r="AE55" s="9"/>
      <c r="AF55" s="9"/>
      <c r="AG55" s="12">
        <f t="shared" si="8"/>
        <v>6548268</v>
      </c>
      <c r="AH55" s="263">
        <f t="shared" si="5"/>
        <v>0</v>
      </c>
      <c r="AK55" s="235"/>
      <c r="AL55" s="206"/>
      <c r="AM55" s="206"/>
      <c r="AN55" s="206"/>
      <c r="AO55" s="9"/>
      <c r="AP55" s="206"/>
      <c r="AQ55" s="206"/>
      <c r="AR55" s="206"/>
      <c r="AS55" s="206"/>
      <c r="AT55" s="206"/>
      <c r="AU55" s="206"/>
      <c r="AV55" s="227">
        <v>2883508</v>
      </c>
      <c r="AW55" s="445">
        <f t="shared" si="10"/>
        <v>2883508</v>
      </c>
      <c r="AX55" s="263">
        <f t="shared" si="6"/>
        <v>3664760</v>
      </c>
      <c r="AZ55" s="502"/>
      <c r="BA55" s="207"/>
    </row>
    <row r="56" spans="1:53" ht="15">
      <c r="A56" s="18">
        <v>23</v>
      </c>
      <c r="B56" s="7" t="s">
        <v>86</v>
      </c>
      <c r="C56" s="137"/>
      <c r="D56" s="13"/>
      <c r="E56" s="142"/>
      <c r="F56" s="143"/>
      <c r="G56" s="160"/>
      <c r="H56" s="319">
        <f t="shared" si="7"/>
        <v>0</v>
      </c>
      <c r="I56" s="154"/>
      <c r="J56" s="221"/>
      <c r="K56" s="154"/>
      <c r="L56" s="9"/>
      <c r="M56" s="206"/>
      <c r="N56" s="9"/>
      <c r="O56" s="33"/>
      <c r="P56" s="212"/>
      <c r="Q56" s="33"/>
      <c r="R56" s="33"/>
      <c r="S56" s="33"/>
      <c r="T56" s="21"/>
      <c r="U56" s="68"/>
      <c r="V56" s="206"/>
      <c r="W56" s="206"/>
      <c r="X56" s="206"/>
      <c r="Y56" s="9"/>
      <c r="Z56" s="206"/>
      <c r="AA56" s="206"/>
      <c r="AB56" s="206"/>
      <c r="AC56" s="206"/>
      <c r="AD56" s="206"/>
      <c r="AE56" s="9"/>
      <c r="AF56" s="9"/>
      <c r="AG56" s="12">
        <f t="shared" si="8"/>
        <v>0</v>
      </c>
      <c r="AH56" s="263">
        <f t="shared" si="5"/>
        <v>0</v>
      </c>
      <c r="AI56" s="170"/>
      <c r="AK56" s="235"/>
      <c r="AL56" s="206"/>
      <c r="AM56" s="206"/>
      <c r="AN56" s="206"/>
      <c r="AO56" s="9"/>
      <c r="AP56" s="206"/>
      <c r="AQ56" s="206"/>
      <c r="AR56" s="206"/>
      <c r="AS56" s="206"/>
      <c r="AT56" s="206"/>
      <c r="AU56" s="206"/>
      <c r="AV56" s="227"/>
      <c r="AW56" s="445">
        <f t="shared" si="10"/>
        <v>0</v>
      </c>
      <c r="AX56" s="263">
        <f t="shared" si="6"/>
        <v>0</v>
      </c>
    </row>
    <row r="57" spans="1:53" ht="15">
      <c r="A57" s="573">
        <v>24</v>
      </c>
      <c r="B57" s="575" t="s">
        <v>87</v>
      </c>
      <c r="C57" s="581">
        <v>1960</v>
      </c>
      <c r="D57" s="577">
        <v>24443438</v>
      </c>
      <c r="E57" s="578">
        <f>+D57*E31</f>
        <v>17110406.599999998</v>
      </c>
      <c r="F57" s="579">
        <f>+D57*F31</f>
        <v>7333031.3999999994</v>
      </c>
      <c r="G57" s="580"/>
      <c r="H57" s="319">
        <f t="shared" si="7"/>
        <v>24443438</v>
      </c>
      <c r="I57" s="154"/>
      <c r="J57" s="221"/>
      <c r="K57" s="154">
        <v>17110406</v>
      </c>
      <c r="L57" s="9"/>
      <c r="M57" s="206"/>
      <c r="N57" s="9"/>
      <c r="O57" s="33"/>
      <c r="P57" s="212"/>
      <c r="Q57" s="33"/>
      <c r="R57" s="33">
        <v>7333032</v>
      </c>
      <c r="S57" s="33"/>
      <c r="T57" s="21"/>
      <c r="U57" s="68"/>
      <c r="V57" s="206"/>
      <c r="W57" s="206">
        <v>17110406</v>
      </c>
      <c r="X57" s="206"/>
      <c r="Y57" s="9"/>
      <c r="Z57" s="206"/>
      <c r="AA57" s="206"/>
      <c r="AB57" s="206"/>
      <c r="AC57" s="206"/>
      <c r="AD57" s="206">
        <v>7333032</v>
      </c>
      <c r="AE57" s="9"/>
      <c r="AF57" s="9"/>
      <c r="AG57" s="12">
        <f t="shared" si="8"/>
        <v>24443438</v>
      </c>
      <c r="AH57" s="263">
        <f t="shared" si="5"/>
        <v>0</v>
      </c>
      <c r="AK57" s="235">
        <v>0</v>
      </c>
      <c r="AL57" s="206"/>
      <c r="AM57" s="206"/>
      <c r="AN57" s="206"/>
      <c r="AO57" s="9"/>
      <c r="AP57" s="206"/>
      <c r="AQ57" s="206">
        <v>8404512</v>
      </c>
      <c r="AR57" s="206"/>
      <c r="AS57" s="206">
        <v>4812304</v>
      </c>
      <c r="AT57" s="206"/>
      <c r="AU57" s="206"/>
      <c r="AV57" s="227"/>
      <c r="AW57" s="445">
        <f t="shared" si="10"/>
        <v>13216816</v>
      </c>
      <c r="AX57" s="263">
        <f t="shared" si="6"/>
        <v>11226622</v>
      </c>
    </row>
    <row r="58" spans="1:53" ht="16.5" customHeight="1">
      <c r="A58" s="573">
        <v>25</v>
      </c>
      <c r="B58" s="601" t="s">
        <v>109</v>
      </c>
      <c r="C58" s="581">
        <v>1961</v>
      </c>
      <c r="D58" s="577">
        <v>11224002</v>
      </c>
      <c r="E58" s="578">
        <f>+D58*E31</f>
        <v>7856801.3999999994</v>
      </c>
      <c r="F58" s="579">
        <f>+D58*F31</f>
        <v>3367200.6</v>
      </c>
      <c r="G58" s="580"/>
      <c r="H58" s="319">
        <f t="shared" si="7"/>
        <v>11224002</v>
      </c>
      <c r="I58" s="154"/>
      <c r="J58" s="221"/>
      <c r="K58" s="154">
        <v>7856801</v>
      </c>
      <c r="L58" s="9"/>
      <c r="M58" s="206"/>
      <c r="N58" s="9"/>
      <c r="O58" s="33"/>
      <c r="P58" s="212"/>
      <c r="Q58" s="33"/>
      <c r="R58" s="33">
        <v>3367201</v>
      </c>
      <c r="S58" s="33"/>
      <c r="T58" s="21"/>
      <c r="U58" s="68"/>
      <c r="V58" s="206"/>
      <c r="W58" s="206">
        <v>7856801</v>
      </c>
      <c r="X58" s="206"/>
      <c r="Y58" s="9"/>
      <c r="Z58" s="206"/>
      <c r="AA58" s="206"/>
      <c r="AB58" s="206"/>
      <c r="AC58" s="206"/>
      <c r="AD58" s="206">
        <v>3367201</v>
      </c>
      <c r="AE58" s="9"/>
      <c r="AF58" s="9"/>
      <c r="AG58" s="12">
        <f t="shared" si="8"/>
        <v>11224002</v>
      </c>
      <c r="AH58" s="263">
        <f t="shared" si="5"/>
        <v>0</v>
      </c>
      <c r="AK58" s="235">
        <v>0</v>
      </c>
      <c r="AL58" s="206">
        <v>0</v>
      </c>
      <c r="AM58" s="206">
        <v>0</v>
      </c>
      <c r="AN58" s="206"/>
      <c r="AO58" s="9"/>
      <c r="AP58" s="206"/>
      <c r="AQ58" s="206">
        <v>7120960</v>
      </c>
      <c r="AR58" s="206"/>
      <c r="AS58" s="206"/>
      <c r="AT58" s="206">
        <v>6067694</v>
      </c>
      <c r="AU58" s="206"/>
      <c r="AV58" s="227"/>
      <c r="AW58" s="445">
        <f t="shared" si="10"/>
        <v>13188654</v>
      </c>
      <c r="AX58" s="263">
        <f t="shared" si="6"/>
        <v>-1964652</v>
      </c>
    </row>
    <row r="59" spans="1:53" ht="15">
      <c r="A59" s="18">
        <v>26</v>
      </c>
      <c r="B59" s="7" t="s">
        <v>88</v>
      </c>
      <c r="C59" s="137"/>
      <c r="D59" s="13"/>
      <c r="E59" s="142"/>
      <c r="F59" s="143"/>
      <c r="G59" s="160"/>
      <c r="H59" s="319">
        <f t="shared" si="7"/>
        <v>0</v>
      </c>
      <c r="I59" s="154"/>
      <c r="J59" s="221"/>
      <c r="K59" s="154"/>
      <c r="L59" s="9"/>
      <c r="M59" s="206"/>
      <c r="N59" s="9"/>
      <c r="O59" s="33"/>
      <c r="P59" s="212"/>
      <c r="Q59" s="33"/>
      <c r="R59" s="33"/>
      <c r="S59" s="33"/>
      <c r="T59" s="21"/>
      <c r="U59" s="68"/>
      <c r="V59" s="206"/>
      <c r="W59" s="206"/>
      <c r="X59" s="206"/>
      <c r="Y59" s="9"/>
      <c r="Z59" s="206"/>
      <c r="AA59" s="206"/>
      <c r="AB59" s="206"/>
      <c r="AC59" s="206"/>
      <c r="AD59" s="206"/>
      <c r="AE59" s="9"/>
      <c r="AF59" s="9"/>
      <c r="AG59" s="12">
        <f t="shared" si="8"/>
        <v>0</v>
      </c>
      <c r="AH59" s="263">
        <f t="shared" si="5"/>
        <v>0</v>
      </c>
      <c r="AK59" s="235"/>
      <c r="AL59" s="206"/>
      <c r="AM59" s="206"/>
      <c r="AN59" s="206"/>
      <c r="AO59" s="9"/>
      <c r="AP59" s="206"/>
      <c r="AQ59" s="206"/>
      <c r="AR59" s="206"/>
      <c r="AS59" s="206"/>
      <c r="AT59" s="206"/>
      <c r="AU59" s="206"/>
      <c r="AV59" s="227"/>
      <c r="AW59" s="445">
        <f t="shared" si="10"/>
        <v>0</v>
      </c>
      <c r="AX59" s="263">
        <f t="shared" si="6"/>
        <v>0</v>
      </c>
    </row>
    <row r="60" spans="1:53" ht="15">
      <c r="A60" s="573">
        <v>27</v>
      </c>
      <c r="B60" s="575" t="s">
        <v>89</v>
      </c>
      <c r="C60" s="581">
        <v>1593</v>
      </c>
      <c r="D60" s="577">
        <v>138447252</v>
      </c>
      <c r="E60" s="578">
        <f>+D60*G31</f>
        <v>11537271</v>
      </c>
      <c r="F60" s="579">
        <f>+D60*G31</f>
        <v>11537271</v>
      </c>
      <c r="G60" s="580">
        <f>+D60*G31</f>
        <v>11537271</v>
      </c>
      <c r="H60" s="319">
        <f t="shared" si="7"/>
        <v>138447252</v>
      </c>
      <c r="I60" s="154"/>
      <c r="J60" s="221"/>
      <c r="K60" s="154">
        <v>34611813</v>
      </c>
      <c r="L60" s="9">
        <v>11537271</v>
      </c>
      <c r="M60" s="206">
        <v>11537271</v>
      </c>
      <c r="N60" s="9">
        <v>11537271</v>
      </c>
      <c r="O60" s="33">
        <v>11537271</v>
      </c>
      <c r="P60" s="212">
        <v>11537271</v>
      </c>
      <c r="Q60" s="33">
        <v>11537271</v>
      </c>
      <c r="R60" s="33">
        <v>11537271</v>
      </c>
      <c r="S60" s="33">
        <v>11537271</v>
      </c>
      <c r="T60" s="21">
        <v>11537271</v>
      </c>
      <c r="U60" s="68"/>
      <c r="V60" s="206"/>
      <c r="W60" s="206">
        <v>34611813</v>
      </c>
      <c r="X60" s="206">
        <v>11537271</v>
      </c>
      <c r="Y60" s="9">
        <v>11537271</v>
      </c>
      <c r="Z60" s="206"/>
      <c r="AA60" s="206"/>
      <c r="AB60" s="206">
        <f>11537271+11537271</f>
        <v>23074542</v>
      </c>
      <c r="AC60" s="206">
        <v>11537271</v>
      </c>
      <c r="AD60" s="206">
        <v>11537271</v>
      </c>
      <c r="AE60" s="9">
        <f>11537271+11537271</f>
        <v>23074542</v>
      </c>
      <c r="AF60" s="9">
        <v>11537271</v>
      </c>
      <c r="AG60" s="12">
        <f t="shared" ref="AG60:AG67" si="13">SUM(U60:AF60)</f>
        <v>138447252</v>
      </c>
      <c r="AH60" s="263">
        <f t="shared" si="5"/>
        <v>0</v>
      </c>
      <c r="AK60" s="235"/>
      <c r="AL60" s="206"/>
      <c r="AM60" s="206"/>
      <c r="AN60" s="206"/>
      <c r="AO60" s="9"/>
      <c r="AP60" s="206"/>
      <c r="AQ60" s="206">
        <v>63777904</v>
      </c>
      <c r="AR60" s="206">
        <v>21283921</v>
      </c>
      <c r="AS60" s="206"/>
      <c r="AT60" s="206">
        <v>25758226</v>
      </c>
      <c r="AU60" s="206"/>
      <c r="AV60" s="227"/>
      <c r="AW60" s="445">
        <f t="shared" si="10"/>
        <v>110820051</v>
      </c>
      <c r="AX60" s="263">
        <f t="shared" si="6"/>
        <v>27627201</v>
      </c>
    </row>
    <row r="61" spans="1:53" ht="15">
      <c r="A61" s="18">
        <v>28</v>
      </c>
      <c r="B61" s="7" t="s">
        <v>110</v>
      </c>
      <c r="C61" s="137"/>
      <c r="D61" s="13"/>
      <c r="E61" s="142"/>
      <c r="F61" s="143"/>
      <c r="G61" s="160"/>
      <c r="H61" s="319">
        <f t="shared" si="7"/>
        <v>0</v>
      </c>
      <c r="I61" s="154"/>
      <c r="J61" s="221"/>
      <c r="K61" s="154"/>
      <c r="L61" s="9"/>
      <c r="M61" s="206"/>
      <c r="N61" s="9"/>
      <c r="O61" s="33"/>
      <c r="P61" s="212"/>
      <c r="Q61" s="33"/>
      <c r="R61" s="33"/>
      <c r="S61" s="33"/>
      <c r="T61" s="21"/>
      <c r="U61" s="68"/>
      <c r="V61" s="206"/>
      <c r="W61" s="206"/>
      <c r="X61" s="206"/>
      <c r="Y61" s="9"/>
      <c r="Z61" s="206"/>
      <c r="AA61" s="206"/>
      <c r="AB61" s="206"/>
      <c r="AC61" s="206"/>
      <c r="AD61" s="206"/>
      <c r="AE61" s="9"/>
      <c r="AF61" s="9"/>
      <c r="AG61" s="12">
        <f t="shared" si="13"/>
        <v>0</v>
      </c>
      <c r="AH61" s="263">
        <f t="shared" si="5"/>
        <v>0</v>
      </c>
      <c r="AK61" s="235"/>
      <c r="AL61" s="206"/>
      <c r="AM61" s="206"/>
      <c r="AN61" s="206"/>
      <c r="AO61" s="9"/>
      <c r="AP61" s="206"/>
      <c r="AQ61" s="206"/>
      <c r="AR61" s="206"/>
      <c r="AS61" s="206"/>
      <c r="AT61" s="206"/>
      <c r="AU61" s="206"/>
      <c r="AV61" s="227"/>
      <c r="AW61" s="445">
        <f t="shared" si="10"/>
        <v>0</v>
      </c>
      <c r="AX61" s="263">
        <f t="shared" si="6"/>
        <v>0</v>
      </c>
    </row>
    <row r="62" spans="1:53" ht="15">
      <c r="A62" s="18">
        <v>29</v>
      </c>
      <c r="B62" s="7" t="s">
        <v>103</v>
      </c>
      <c r="C62" s="137"/>
      <c r="D62" s="13"/>
      <c r="E62" s="142"/>
      <c r="F62" s="143"/>
      <c r="G62" s="160"/>
      <c r="H62" s="319">
        <f t="shared" si="7"/>
        <v>0</v>
      </c>
      <c r="I62" s="154"/>
      <c r="J62" s="221"/>
      <c r="K62" s="154"/>
      <c r="L62" s="9"/>
      <c r="M62" s="206"/>
      <c r="N62" s="9"/>
      <c r="O62" s="33"/>
      <c r="P62" s="212"/>
      <c r="Q62" s="33"/>
      <c r="R62" s="33"/>
      <c r="S62" s="33"/>
      <c r="T62" s="21"/>
      <c r="U62" s="68"/>
      <c r="V62" s="206"/>
      <c r="W62" s="206"/>
      <c r="X62" s="206"/>
      <c r="Y62" s="9"/>
      <c r="Z62" s="206"/>
      <c r="AA62" s="206"/>
      <c r="AB62" s="206"/>
      <c r="AC62" s="206"/>
      <c r="AD62" s="206"/>
      <c r="AE62" s="9"/>
      <c r="AF62" s="9"/>
      <c r="AG62" s="12">
        <f t="shared" si="13"/>
        <v>0</v>
      </c>
      <c r="AH62" s="263">
        <f t="shared" si="5"/>
        <v>0</v>
      </c>
      <c r="AK62" s="235"/>
      <c r="AL62" s="206"/>
      <c r="AM62" s="206"/>
      <c r="AN62" s="206"/>
      <c r="AO62" s="9"/>
      <c r="AP62" s="206"/>
      <c r="AQ62" s="206"/>
      <c r="AR62" s="206"/>
      <c r="AS62" s="206"/>
      <c r="AT62" s="206"/>
      <c r="AU62" s="206"/>
      <c r="AV62" s="227"/>
      <c r="AW62" s="445">
        <f t="shared" si="10"/>
        <v>0</v>
      </c>
      <c r="AX62" s="263">
        <f t="shared" si="6"/>
        <v>0</v>
      </c>
    </row>
    <row r="63" spans="1:53" ht="15">
      <c r="A63" s="573">
        <v>30</v>
      </c>
      <c r="B63" s="575" t="s">
        <v>90</v>
      </c>
      <c r="C63" s="581">
        <v>1962</v>
      </c>
      <c r="D63" s="577">
        <v>92412223</v>
      </c>
      <c r="E63" s="578">
        <f>+D63*E31</f>
        <v>64688556.099999994</v>
      </c>
      <c r="F63" s="579">
        <f>+D63*F31</f>
        <v>27723666.899999999</v>
      </c>
      <c r="G63" s="580"/>
      <c r="H63" s="319">
        <f t="shared" si="7"/>
        <v>92412223</v>
      </c>
      <c r="I63" s="154"/>
      <c r="J63" s="221"/>
      <c r="K63" s="154">
        <v>64688556</v>
      </c>
      <c r="L63" s="9"/>
      <c r="M63" s="206"/>
      <c r="N63" s="9"/>
      <c r="O63" s="33"/>
      <c r="P63" s="212"/>
      <c r="Q63" s="33"/>
      <c r="R63" s="33">
        <v>27723667</v>
      </c>
      <c r="S63" s="33"/>
      <c r="T63" s="21"/>
      <c r="U63" s="68"/>
      <c r="V63" s="206"/>
      <c r="W63" s="206">
        <v>64688556</v>
      </c>
      <c r="X63" s="206"/>
      <c r="Y63" s="9"/>
      <c r="Z63" s="206"/>
      <c r="AA63" s="206"/>
      <c r="AB63" s="206"/>
      <c r="AC63" s="206"/>
      <c r="AD63" s="206">
        <v>27723667</v>
      </c>
      <c r="AE63" s="9"/>
      <c r="AF63" s="9"/>
      <c r="AG63" s="12">
        <f t="shared" si="13"/>
        <v>92412223</v>
      </c>
      <c r="AH63" s="263">
        <f t="shared" si="5"/>
        <v>0</v>
      </c>
      <c r="AK63" s="235"/>
      <c r="AL63" s="206"/>
      <c r="AM63" s="206"/>
      <c r="AN63" s="206"/>
      <c r="AO63" s="9"/>
      <c r="AP63" s="206"/>
      <c r="AQ63" s="206">
        <v>73545404</v>
      </c>
      <c r="AR63" s="206"/>
      <c r="AS63" s="206">
        <v>6435092</v>
      </c>
      <c r="AT63" s="206"/>
      <c r="AU63" s="206"/>
      <c r="AV63" s="227">
        <v>9518458</v>
      </c>
      <c r="AW63" s="445">
        <f t="shared" si="10"/>
        <v>89498954</v>
      </c>
      <c r="AX63" s="263">
        <f t="shared" si="6"/>
        <v>2913269</v>
      </c>
    </row>
    <row r="64" spans="1:53" ht="15">
      <c r="A64" s="573">
        <v>31</v>
      </c>
      <c r="B64" s="575" t="s">
        <v>91</v>
      </c>
      <c r="C64" s="581">
        <v>1602</v>
      </c>
      <c r="D64" s="577">
        <v>18079749</v>
      </c>
      <c r="E64" s="578">
        <f>+D64*E31</f>
        <v>12655824.299999999</v>
      </c>
      <c r="F64" s="579">
        <f>+D64*F31</f>
        <v>5423924.7000000002</v>
      </c>
      <c r="G64" s="580"/>
      <c r="H64" s="319">
        <f t="shared" si="7"/>
        <v>18079749</v>
      </c>
      <c r="I64" s="154"/>
      <c r="J64" s="221"/>
      <c r="K64" s="154">
        <v>12655824</v>
      </c>
      <c r="L64" s="9"/>
      <c r="M64" s="206"/>
      <c r="N64" s="9"/>
      <c r="O64" s="33"/>
      <c r="P64" s="212"/>
      <c r="Q64" s="33"/>
      <c r="R64" s="33">
        <v>5423925</v>
      </c>
      <c r="S64" s="33"/>
      <c r="T64" s="21"/>
      <c r="U64" s="68"/>
      <c r="V64" s="206"/>
      <c r="W64" s="206">
        <v>12655824</v>
      </c>
      <c r="X64" s="206"/>
      <c r="Y64" s="9"/>
      <c r="Z64" s="206"/>
      <c r="AA64" s="206"/>
      <c r="AB64" s="206"/>
      <c r="AC64" s="206"/>
      <c r="AD64" s="206"/>
      <c r="AE64" s="9">
        <v>5423925</v>
      </c>
      <c r="AF64" s="9"/>
      <c r="AG64" s="12">
        <f t="shared" si="13"/>
        <v>18079749</v>
      </c>
      <c r="AH64" s="263">
        <f t="shared" si="5"/>
        <v>0</v>
      </c>
      <c r="AK64" s="235"/>
      <c r="AL64" s="206"/>
      <c r="AM64" s="206"/>
      <c r="AN64" s="206"/>
      <c r="AO64" s="9"/>
      <c r="AP64" s="206"/>
      <c r="AQ64" s="206">
        <v>6674070</v>
      </c>
      <c r="AR64" s="206"/>
      <c r="AS64" s="206"/>
      <c r="AT64" s="206">
        <v>4448892</v>
      </c>
      <c r="AU64" s="206">
        <v>3450688</v>
      </c>
      <c r="AV64" s="227"/>
      <c r="AW64" s="445">
        <f t="shared" si="10"/>
        <v>14573650</v>
      </c>
      <c r="AX64" s="263">
        <f t="shared" si="6"/>
        <v>3506099</v>
      </c>
    </row>
    <row r="65" spans="1:50" ht="15">
      <c r="A65" s="573">
        <v>32</v>
      </c>
      <c r="B65" s="575" t="s">
        <v>92</v>
      </c>
      <c r="C65" s="581">
        <v>1361</v>
      </c>
      <c r="D65" s="577">
        <v>7439488</v>
      </c>
      <c r="E65" s="578">
        <f>+D65*E31</f>
        <v>5207641.5999999996</v>
      </c>
      <c r="F65" s="579">
        <f>+D65*F31</f>
        <v>2231846.4</v>
      </c>
      <c r="G65" s="580"/>
      <c r="H65" s="319">
        <f t="shared" si="7"/>
        <v>7439488</v>
      </c>
      <c r="I65" s="154"/>
      <c r="J65" s="221"/>
      <c r="K65" s="154">
        <v>5207641.5999999996</v>
      </c>
      <c r="L65" s="9"/>
      <c r="M65" s="206"/>
      <c r="N65" s="9"/>
      <c r="O65" s="33"/>
      <c r="P65" s="212"/>
      <c r="Q65" s="33"/>
      <c r="R65" s="33">
        <v>2231846.4000000004</v>
      </c>
      <c r="S65" s="33"/>
      <c r="T65" s="21"/>
      <c r="U65" s="68"/>
      <c r="V65" s="206"/>
      <c r="W65" s="206">
        <v>5207642</v>
      </c>
      <c r="X65" s="206"/>
      <c r="Y65" s="9"/>
      <c r="Z65" s="206"/>
      <c r="AA65" s="206"/>
      <c r="AB65" s="206"/>
      <c r="AC65" s="206"/>
      <c r="AD65" s="206">
        <v>2231846.4000000004</v>
      </c>
      <c r="AE65" s="9"/>
      <c r="AF65" s="9"/>
      <c r="AG65" s="12">
        <f t="shared" si="13"/>
        <v>7439488.4000000004</v>
      </c>
      <c r="AH65" s="263">
        <f t="shared" si="5"/>
        <v>-0.40000000037252903</v>
      </c>
      <c r="AK65" s="235"/>
      <c r="AL65" s="206"/>
      <c r="AM65" s="206"/>
      <c r="AN65" s="206"/>
      <c r="AO65" s="9"/>
      <c r="AP65" s="206"/>
      <c r="AQ65" s="206"/>
      <c r="AR65" s="206">
        <v>4671196</v>
      </c>
      <c r="AS65" s="206"/>
      <c r="AT65" s="206"/>
      <c r="AU65" s="206">
        <v>1359332</v>
      </c>
      <c r="AV65" s="227"/>
      <c r="AW65" s="445">
        <f t="shared" si="10"/>
        <v>6030528</v>
      </c>
      <c r="AX65" s="263">
        <f t="shared" si="6"/>
        <v>1408960.4000000004</v>
      </c>
    </row>
    <row r="66" spans="1:50" ht="15">
      <c r="A66" s="573">
        <v>33</v>
      </c>
      <c r="B66" s="568" t="s">
        <v>107</v>
      </c>
      <c r="C66" s="566">
        <v>2391</v>
      </c>
      <c r="D66" s="567">
        <v>10280694</v>
      </c>
      <c r="E66" s="563">
        <f>+D66*E31</f>
        <v>7196485.7999999998</v>
      </c>
      <c r="F66" s="564">
        <f>+D66*F31</f>
        <v>3084208.1999999997</v>
      </c>
      <c r="G66" s="565"/>
      <c r="H66" s="319">
        <f t="shared" si="7"/>
        <v>10280694</v>
      </c>
      <c r="I66" s="155"/>
      <c r="J66" s="222"/>
      <c r="K66" s="155"/>
      <c r="L66" s="48">
        <v>7196485</v>
      </c>
      <c r="M66" s="210"/>
      <c r="N66" s="48"/>
      <c r="O66" s="33"/>
      <c r="P66" s="212"/>
      <c r="Q66" s="33"/>
      <c r="R66" s="33">
        <v>3084209</v>
      </c>
      <c r="S66" s="33"/>
      <c r="T66" s="21"/>
      <c r="U66" s="177"/>
      <c r="V66" s="210"/>
      <c r="W66" s="210"/>
      <c r="X66" s="210">
        <v>7196485</v>
      </c>
      <c r="Y66" s="48"/>
      <c r="Z66" s="210"/>
      <c r="AA66" s="210"/>
      <c r="AB66" s="210"/>
      <c r="AC66" s="210"/>
      <c r="AD66" s="210">
        <v>3084209</v>
      </c>
      <c r="AE66" s="48"/>
      <c r="AF66" s="48"/>
      <c r="AG66" s="12">
        <f t="shared" si="13"/>
        <v>10280694</v>
      </c>
      <c r="AH66" s="263">
        <f t="shared" si="5"/>
        <v>0</v>
      </c>
      <c r="AK66" s="236">
        <v>0</v>
      </c>
      <c r="AL66" s="210"/>
      <c r="AM66" s="210"/>
      <c r="AN66" s="210"/>
      <c r="AO66" s="48"/>
      <c r="AP66" s="210"/>
      <c r="AQ66" s="210">
        <v>2746067</v>
      </c>
      <c r="AR66" s="210">
        <v>1177596</v>
      </c>
      <c r="AS66" s="210"/>
      <c r="AT66" s="210"/>
      <c r="AU66" s="210"/>
      <c r="AV66" s="229"/>
      <c r="AW66" s="445">
        <f t="shared" si="10"/>
        <v>3923663</v>
      </c>
      <c r="AX66" s="263">
        <f t="shared" si="6"/>
        <v>6357031</v>
      </c>
    </row>
    <row r="67" spans="1:50" ht="15">
      <c r="A67" s="573">
        <v>34</v>
      </c>
      <c r="B67" s="568" t="s">
        <v>180</v>
      </c>
      <c r="C67" s="566" t="s">
        <v>295</v>
      </c>
      <c r="D67" s="567">
        <f>12376067+88586000+48968864+27748759</f>
        <v>177679690</v>
      </c>
      <c r="E67" s="563">
        <v>8663246.9000000004</v>
      </c>
      <c r="F67" s="564">
        <v>3712820.1</v>
      </c>
      <c r="G67" s="565">
        <f>88586000+48968864</f>
        <v>137554864</v>
      </c>
      <c r="H67" s="319">
        <f t="shared" si="7"/>
        <v>177679690</v>
      </c>
      <c r="I67" s="155"/>
      <c r="J67" s="222"/>
      <c r="K67" s="155">
        <v>8663246</v>
      </c>
      <c r="L67" s="48">
        <v>53346954</v>
      </c>
      <c r="M67" s="210">
        <v>36610690</v>
      </c>
      <c r="N67" s="48"/>
      <c r="O67" s="33"/>
      <c r="P67" s="212"/>
      <c r="Q67" s="33"/>
      <c r="R67" s="33">
        <f>1760013+581164+8793979+16988763</f>
        <v>28123919</v>
      </c>
      <c r="S67" s="33">
        <v>50934881</v>
      </c>
      <c r="T67" s="21"/>
      <c r="U67" s="177"/>
      <c r="V67" s="210"/>
      <c r="W67" s="210">
        <v>8663246</v>
      </c>
      <c r="X67" s="210">
        <v>53346954</v>
      </c>
      <c r="Y67" s="48">
        <v>36610690</v>
      </c>
      <c r="Z67" s="210"/>
      <c r="AA67" s="210"/>
      <c r="AB67" s="210"/>
      <c r="AC67" s="210"/>
      <c r="AD67" s="210">
        <f>1760013+581164</f>
        <v>2341177</v>
      </c>
      <c r="AE67" s="48">
        <f>50934881+25782742</f>
        <v>76717623</v>
      </c>
      <c r="AF67" s="48"/>
      <c r="AG67" s="12">
        <f t="shared" si="13"/>
        <v>177679690</v>
      </c>
      <c r="AH67" s="263">
        <f t="shared" si="5"/>
        <v>0</v>
      </c>
      <c r="AK67" s="236">
        <v>0</v>
      </c>
      <c r="AL67" s="210"/>
      <c r="AM67" s="210"/>
      <c r="AN67" s="210"/>
      <c r="AO67" s="48"/>
      <c r="AP67" s="210"/>
      <c r="AQ67" s="210">
        <v>55800366</v>
      </c>
      <c r="AR67" s="210">
        <v>22951729</v>
      </c>
      <c r="AS67" s="210"/>
      <c r="AT67" s="210">
        <v>63479856</v>
      </c>
      <c r="AU67" s="210"/>
      <c r="AV67" s="229"/>
      <c r="AW67" s="445">
        <f t="shared" si="10"/>
        <v>142231951</v>
      </c>
      <c r="AX67" s="263">
        <f t="shared" si="6"/>
        <v>35447739</v>
      </c>
    </row>
    <row r="68" spans="1:50" ht="15">
      <c r="A68" s="18">
        <v>35</v>
      </c>
      <c r="B68" s="52" t="s">
        <v>181</v>
      </c>
      <c r="C68" s="145"/>
      <c r="D68" s="43">
        <f>+D67-H67</f>
        <v>0</v>
      </c>
      <c r="E68" s="174"/>
      <c r="F68" s="175"/>
      <c r="G68" s="176"/>
      <c r="H68" s="319">
        <f t="shared" si="7"/>
        <v>0</v>
      </c>
      <c r="I68" s="155"/>
      <c r="J68" s="222"/>
      <c r="K68" s="155"/>
      <c r="L68" s="48"/>
      <c r="M68" s="210"/>
      <c r="N68" s="48"/>
      <c r="O68" s="33"/>
      <c r="P68" s="212"/>
      <c r="Q68" s="33"/>
      <c r="R68" s="33"/>
      <c r="S68" s="33"/>
      <c r="T68" s="21"/>
      <c r="U68" s="177"/>
      <c r="V68" s="210"/>
      <c r="W68" s="210"/>
      <c r="X68" s="210"/>
      <c r="Y68" s="48"/>
      <c r="Z68" s="210"/>
      <c r="AA68" s="210"/>
      <c r="AB68" s="210"/>
      <c r="AC68" s="210"/>
      <c r="AD68" s="210"/>
      <c r="AE68" s="48"/>
      <c r="AF68" s="48"/>
      <c r="AG68" s="12">
        <f t="shared" ref="AG68:AG74" si="14">SUM(U68:AF68)</f>
        <v>0</v>
      </c>
      <c r="AH68" s="263">
        <f t="shared" ref="AH68:AH80" si="15">+H68-AG68</f>
        <v>0</v>
      </c>
      <c r="AK68" s="236"/>
      <c r="AL68" s="210"/>
      <c r="AM68" s="210"/>
      <c r="AN68" s="210"/>
      <c r="AO68" s="48"/>
      <c r="AP68" s="210"/>
      <c r="AQ68" s="210"/>
      <c r="AR68" s="210"/>
      <c r="AS68" s="210"/>
      <c r="AT68" s="210"/>
      <c r="AU68" s="210"/>
      <c r="AV68" s="229"/>
      <c r="AW68" s="445">
        <f t="shared" ref="AW68:AW74" si="16">SUM(AK68:AV68)</f>
        <v>0</v>
      </c>
      <c r="AX68" s="263">
        <f t="shared" si="6"/>
        <v>0</v>
      </c>
    </row>
    <row r="69" spans="1:50" ht="15">
      <c r="A69" s="18">
        <v>36</v>
      </c>
      <c r="B69" s="52" t="s">
        <v>182</v>
      </c>
      <c r="C69" s="145"/>
      <c r="D69" s="43"/>
      <c r="E69" s="174"/>
      <c r="F69" s="175"/>
      <c r="G69" s="176"/>
      <c r="H69" s="319">
        <f t="shared" si="7"/>
        <v>0</v>
      </c>
      <c r="I69" s="155"/>
      <c r="J69" s="222"/>
      <c r="K69" s="155"/>
      <c r="L69" s="48"/>
      <c r="M69" s="210"/>
      <c r="N69" s="48"/>
      <c r="O69" s="33"/>
      <c r="P69" s="212"/>
      <c r="Q69" s="33"/>
      <c r="R69" s="33"/>
      <c r="S69" s="33"/>
      <c r="T69" s="21"/>
      <c r="U69" s="177"/>
      <c r="V69" s="210"/>
      <c r="W69" s="210"/>
      <c r="X69" s="210"/>
      <c r="Y69" s="48"/>
      <c r="Z69" s="210"/>
      <c r="AA69" s="210"/>
      <c r="AB69" s="210"/>
      <c r="AC69" s="210"/>
      <c r="AD69" s="210"/>
      <c r="AE69" s="48"/>
      <c r="AF69" s="48"/>
      <c r="AG69" s="12">
        <f t="shared" si="14"/>
        <v>0</v>
      </c>
      <c r="AH69" s="263">
        <f t="shared" si="15"/>
        <v>0</v>
      </c>
      <c r="AK69" s="236"/>
      <c r="AL69" s="210"/>
      <c r="AM69" s="210"/>
      <c r="AN69" s="210"/>
      <c r="AO69" s="48"/>
      <c r="AP69" s="210"/>
      <c r="AQ69" s="210"/>
      <c r="AR69" s="210"/>
      <c r="AS69" s="210"/>
      <c r="AT69" s="210"/>
      <c r="AU69" s="210"/>
      <c r="AV69" s="229"/>
      <c r="AW69" s="445">
        <f t="shared" si="16"/>
        <v>0</v>
      </c>
      <c r="AX69" s="263">
        <f t="shared" si="6"/>
        <v>0</v>
      </c>
    </row>
    <row r="70" spans="1:50" ht="13.5" customHeight="1">
      <c r="A70" s="18">
        <v>37</v>
      </c>
      <c r="B70" s="568" t="s">
        <v>132</v>
      </c>
      <c r="C70" s="566">
        <v>2247</v>
      </c>
      <c r="D70" s="567">
        <v>27380378</v>
      </c>
      <c r="E70" s="563">
        <f>+D70*0.5</f>
        <v>13690189</v>
      </c>
      <c r="F70" s="564">
        <f>+D70*0.25</f>
        <v>6845094.5</v>
      </c>
      <c r="G70" s="565">
        <f>+D70*0.25</f>
        <v>6845094.5</v>
      </c>
      <c r="H70" s="319">
        <f t="shared" si="7"/>
        <v>27380378</v>
      </c>
      <c r="I70" s="155"/>
      <c r="J70" s="222"/>
      <c r="K70" s="155"/>
      <c r="L70" s="48"/>
      <c r="M70" s="210">
        <v>13690189</v>
      </c>
      <c r="N70" s="48"/>
      <c r="O70" s="33"/>
      <c r="P70" s="212">
        <v>6845094</v>
      </c>
      <c r="Q70" s="33"/>
      <c r="R70" s="33">
        <v>6845095</v>
      </c>
      <c r="S70" s="33"/>
      <c r="T70" s="21"/>
      <c r="U70" s="177"/>
      <c r="V70" s="210"/>
      <c r="W70" s="210"/>
      <c r="X70" s="210"/>
      <c r="Y70" s="48">
        <v>13690189</v>
      </c>
      <c r="Z70" s="210"/>
      <c r="AA70" s="210"/>
      <c r="AB70" s="210"/>
      <c r="AC70" s="210">
        <v>6845094</v>
      </c>
      <c r="AD70" s="210">
        <v>6845095</v>
      </c>
      <c r="AE70" s="48"/>
      <c r="AF70" s="48"/>
      <c r="AG70" s="12">
        <f t="shared" si="14"/>
        <v>27380378</v>
      </c>
      <c r="AH70" s="263">
        <f t="shared" si="15"/>
        <v>0</v>
      </c>
      <c r="AK70" s="236"/>
      <c r="AL70" s="210"/>
      <c r="AM70" s="210"/>
      <c r="AN70" s="210">
        <v>0</v>
      </c>
      <c r="AO70" s="48"/>
      <c r="AP70" s="210"/>
      <c r="AQ70" s="210"/>
      <c r="AR70" s="210">
        <v>17809898</v>
      </c>
      <c r="AS70" s="210"/>
      <c r="AT70" s="210"/>
      <c r="AU70" s="210"/>
      <c r="AV70" s="229"/>
      <c r="AW70" s="445">
        <f t="shared" si="16"/>
        <v>17809898</v>
      </c>
      <c r="AX70" s="263">
        <f t="shared" si="6"/>
        <v>9570480</v>
      </c>
    </row>
    <row r="71" spans="1:50" ht="15">
      <c r="A71" s="573">
        <v>38</v>
      </c>
      <c r="B71" s="568" t="s">
        <v>129</v>
      </c>
      <c r="C71" s="566">
        <v>2629</v>
      </c>
      <c r="D71" s="567">
        <v>5864183</v>
      </c>
      <c r="E71" s="563">
        <f>+D71*E31</f>
        <v>4104928.0999999996</v>
      </c>
      <c r="F71" s="564">
        <f>+D71*F31</f>
        <v>1759254.9</v>
      </c>
      <c r="G71" s="565"/>
      <c r="H71" s="319">
        <f t="shared" si="7"/>
        <v>5864183</v>
      </c>
      <c r="I71" s="155"/>
      <c r="J71" s="222"/>
      <c r="K71" s="155"/>
      <c r="L71" s="48"/>
      <c r="M71" s="210">
        <v>4104928</v>
      </c>
      <c r="N71" s="48"/>
      <c r="O71" s="33"/>
      <c r="P71" s="212"/>
      <c r="Q71" s="33"/>
      <c r="R71" s="33"/>
      <c r="S71" s="33">
        <v>1759255</v>
      </c>
      <c r="T71" s="21"/>
      <c r="U71" s="177"/>
      <c r="V71" s="210"/>
      <c r="W71" s="210"/>
      <c r="X71" s="210"/>
      <c r="Y71" s="48">
        <v>4104928</v>
      </c>
      <c r="Z71" s="210"/>
      <c r="AA71" s="210"/>
      <c r="AB71" s="210"/>
      <c r="AC71" s="210"/>
      <c r="AD71" s="210"/>
      <c r="AE71" s="48">
        <v>1759255</v>
      </c>
      <c r="AF71" s="48"/>
      <c r="AG71" s="12">
        <f t="shared" si="14"/>
        <v>5864183</v>
      </c>
      <c r="AH71" s="263">
        <f t="shared" si="15"/>
        <v>0</v>
      </c>
      <c r="AK71" s="236"/>
      <c r="AL71" s="210"/>
      <c r="AM71" s="210"/>
      <c r="AN71" s="210"/>
      <c r="AO71" s="48"/>
      <c r="AP71" s="210"/>
      <c r="AQ71" s="210"/>
      <c r="AR71" s="210"/>
      <c r="AS71" s="210"/>
      <c r="AT71" s="210"/>
      <c r="AU71" s="210"/>
      <c r="AV71" s="229"/>
      <c r="AW71" s="445">
        <f t="shared" si="16"/>
        <v>0</v>
      </c>
      <c r="AX71" s="263">
        <f t="shared" si="6"/>
        <v>5864183</v>
      </c>
    </row>
    <row r="72" spans="1:50" ht="15">
      <c r="A72" s="573">
        <v>39</v>
      </c>
      <c r="B72" s="568" t="s">
        <v>133</v>
      </c>
      <c r="C72" s="566">
        <v>2211</v>
      </c>
      <c r="D72" s="567">
        <v>2413260</v>
      </c>
      <c r="E72" s="563">
        <f>+D72*$H$31</f>
        <v>804420</v>
      </c>
      <c r="F72" s="564">
        <f>+D72*$H$31</f>
        <v>804420</v>
      </c>
      <c r="G72" s="565">
        <f>+D72*$H$31</f>
        <v>804420</v>
      </c>
      <c r="H72" s="319">
        <f t="shared" si="7"/>
        <v>2413260</v>
      </c>
      <c r="I72" s="155"/>
      <c r="J72" s="222"/>
      <c r="K72" s="155"/>
      <c r="L72" s="48"/>
      <c r="M72" s="210"/>
      <c r="N72" s="48"/>
      <c r="O72" s="33"/>
      <c r="P72" s="212"/>
      <c r="Q72" s="33"/>
      <c r="R72" s="33">
        <v>2413260</v>
      </c>
      <c r="S72" s="33"/>
      <c r="T72" s="21"/>
      <c r="U72" s="177"/>
      <c r="V72" s="210"/>
      <c r="W72" s="210"/>
      <c r="X72" s="210"/>
      <c r="Y72" s="48"/>
      <c r="Z72" s="210"/>
      <c r="AA72" s="210"/>
      <c r="AB72" s="210"/>
      <c r="AC72" s="210"/>
      <c r="AD72" s="210"/>
      <c r="AE72" s="48"/>
      <c r="AF72" s="48">
        <v>796375.8</v>
      </c>
      <c r="AG72" s="12">
        <f t="shared" si="14"/>
        <v>796375.8</v>
      </c>
      <c r="AH72" s="263">
        <f t="shared" si="15"/>
        <v>1616884.2</v>
      </c>
      <c r="AK72" s="236"/>
      <c r="AL72" s="210"/>
      <c r="AM72" s="210"/>
      <c r="AN72" s="210"/>
      <c r="AO72" s="48"/>
      <c r="AP72" s="210"/>
      <c r="AQ72" s="210"/>
      <c r="AR72" s="210"/>
      <c r="AS72" s="210"/>
      <c r="AT72" s="210">
        <f>880000+740000</f>
        <v>1620000</v>
      </c>
      <c r="AU72" s="210"/>
      <c r="AV72" s="229"/>
      <c r="AW72" s="445">
        <f t="shared" si="16"/>
        <v>1620000</v>
      </c>
      <c r="AX72" s="263">
        <f t="shared" si="6"/>
        <v>-823624.2</v>
      </c>
    </row>
    <row r="73" spans="1:50" ht="15">
      <c r="A73" s="573">
        <v>40</v>
      </c>
      <c r="B73" s="568" t="s">
        <v>134</v>
      </c>
      <c r="C73" s="566">
        <v>2202</v>
      </c>
      <c r="D73" s="567">
        <v>5565482</v>
      </c>
      <c r="E73" s="563">
        <f>+D73*$H$31</f>
        <v>1855160.6666666665</v>
      </c>
      <c r="F73" s="564">
        <f>+D73*$H$31</f>
        <v>1855160.6666666665</v>
      </c>
      <c r="G73" s="565">
        <f>+D73*$H$31</f>
        <v>1855160.6666666665</v>
      </c>
      <c r="H73" s="319">
        <f t="shared" si="7"/>
        <v>5565482</v>
      </c>
      <c r="I73" s="155"/>
      <c r="J73" s="222"/>
      <c r="K73" s="155"/>
      <c r="L73" s="48"/>
      <c r="M73" s="210"/>
      <c r="N73" s="48"/>
      <c r="O73" s="33"/>
      <c r="P73" s="212"/>
      <c r="Q73" s="33"/>
      <c r="R73" s="33">
        <v>5565482</v>
      </c>
      <c r="S73" s="33"/>
      <c r="T73" s="21"/>
      <c r="U73" s="177"/>
      <c r="V73" s="210"/>
      <c r="W73" s="210"/>
      <c r="X73" s="210"/>
      <c r="Y73" s="48"/>
      <c r="Z73" s="210"/>
      <c r="AA73" s="210"/>
      <c r="AB73" s="210"/>
      <c r="AC73" s="210"/>
      <c r="AD73" s="210"/>
      <c r="AE73" s="48"/>
      <c r="AF73" s="48">
        <v>1836609.06</v>
      </c>
      <c r="AG73" s="12">
        <f t="shared" si="14"/>
        <v>1836609.06</v>
      </c>
      <c r="AH73" s="263">
        <f t="shared" si="15"/>
        <v>3728872.94</v>
      </c>
      <c r="AK73" s="236"/>
      <c r="AL73" s="210"/>
      <c r="AM73" s="210"/>
      <c r="AN73" s="210"/>
      <c r="AO73" s="48"/>
      <c r="AP73" s="210"/>
      <c r="AQ73" s="210"/>
      <c r="AR73" s="210"/>
      <c r="AS73" s="210"/>
      <c r="AT73" s="210">
        <v>5600000</v>
      </c>
      <c r="AU73" s="210"/>
      <c r="AV73" s="229"/>
      <c r="AW73" s="445">
        <f t="shared" si="16"/>
        <v>5600000</v>
      </c>
      <c r="AX73" s="263">
        <f t="shared" si="6"/>
        <v>-3763390.94</v>
      </c>
    </row>
    <row r="74" spans="1:50" ht="15" customHeight="1">
      <c r="A74" s="573">
        <v>41</v>
      </c>
      <c r="B74" s="568" t="s">
        <v>135</v>
      </c>
      <c r="C74" s="566">
        <v>2193</v>
      </c>
      <c r="D74" s="567">
        <v>3038496</v>
      </c>
      <c r="E74" s="563">
        <f>+D74*$H$31</f>
        <v>1012832</v>
      </c>
      <c r="F74" s="564">
        <f>+D74*$H$31</f>
        <v>1012832</v>
      </c>
      <c r="G74" s="565">
        <f>+D74*$H$31</f>
        <v>1012832</v>
      </c>
      <c r="H74" s="319">
        <f t="shared" si="7"/>
        <v>3038496</v>
      </c>
      <c r="I74" s="155"/>
      <c r="J74" s="222"/>
      <c r="K74" s="155"/>
      <c r="L74" s="48"/>
      <c r="M74" s="210"/>
      <c r="N74" s="48"/>
      <c r="O74" s="33"/>
      <c r="P74" s="212"/>
      <c r="Q74" s="33"/>
      <c r="R74" s="33">
        <v>3038496</v>
      </c>
      <c r="S74" s="33"/>
      <c r="T74" s="21"/>
      <c r="U74" s="177"/>
      <c r="V74" s="210"/>
      <c r="W74" s="210"/>
      <c r="X74" s="210"/>
      <c r="Y74" s="48"/>
      <c r="Z74" s="210"/>
      <c r="AA74" s="210"/>
      <c r="AB74" s="210"/>
      <c r="AC74" s="210"/>
      <c r="AD74" s="210"/>
      <c r="AE74" s="48"/>
      <c r="AF74" s="48">
        <v>1002703.68</v>
      </c>
      <c r="AG74" s="12">
        <f t="shared" si="14"/>
        <v>1002703.68</v>
      </c>
      <c r="AH74" s="263">
        <f t="shared" si="15"/>
        <v>2035792.3199999998</v>
      </c>
      <c r="AK74" s="236"/>
      <c r="AL74" s="210"/>
      <c r="AM74" s="210"/>
      <c r="AN74" s="210"/>
      <c r="AO74" s="48"/>
      <c r="AP74" s="210"/>
      <c r="AQ74" s="210"/>
      <c r="AR74" s="210"/>
      <c r="AS74" s="210"/>
      <c r="AT74" s="210">
        <v>3087244</v>
      </c>
      <c r="AU74" s="210"/>
      <c r="AV74" s="229"/>
      <c r="AW74" s="445">
        <f t="shared" si="16"/>
        <v>3087244</v>
      </c>
      <c r="AX74" s="263">
        <f t="shared" si="6"/>
        <v>-2084540.3199999998</v>
      </c>
    </row>
    <row r="75" spans="1:50" ht="15">
      <c r="A75" s="573">
        <v>42</v>
      </c>
      <c r="B75" s="568" t="s">
        <v>170</v>
      </c>
      <c r="C75" s="566">
        <v>3243</v>
      </c>
      <c r="D75" s="567">
        <v>3102022</v>
      </c>
      <c r="E75" s="736" t="s">
        <v>172</v>
      </c>
      <c r="F75" s="737"/>
      <c r="G75" s="738"/>
      <c r="H75" s="319">
        <f t="shared" si="7"/>
        <v>3102022</v>
      </c>
      <c r="I75" s="155"/>
      <c r="J75" s="222"/>
      <c r="K75" s="155"/>
      <c r="L75" s="48"/>
      <c r="M75" s="210"/>
      <c r="N75" s="48">
        <v>2171415</v>
      </c>
      <c r="O75" s="33"/>
      <c r="P75" s="212"/>
      <c r="Q75" s="33">
        <v>930607</v>
      </c>
      <c r="R75" s="33"/>
      <c r="S75" s="33"/>
      <c r="T75" s="21"/>
      <c r="U75" s="177"/>
      <c r="V75" s="210"/>
      <c r="W75" s="210"/>
      <c r="X75" s="210"/>
      <c r="Y75" s="48"/>
      <c r="Z75" s="210"/>
      <c r="AA75" s="210"/>
      <c r="AB75" s="210"/>
      <c r="AC75" s="210"/>
      <c r="AD75" s="210"/>
      <c r="AE75" s="48"/>
      <c r="AF75" s="48"/>
      <c r="AG75" s="12">
        <f t="shared" ref="AG75:AG82" si="17">SUM(U75:AF75)</f>
        <v>0</v>
      </c>
      <c r="AH75" s="263">
        <f t="shared" si="15"/>
        <v>3102022</v>
      </c>
      <c r="AK75" s="236"/>
      <c r="AL75" s="210"/>
      <c r="AM75" s="210"/>
      <c r="AN75" s="210"/>
      <c r="AO75" s="48"/>
      <c r="AP75" s="210"/>
      <c r="AQ75" s="210"/>
      <c r="AR75" s="210"/>
      <c r="AS75" s="210"/>
      <c r="AT75" s="210"/>
      <c r="AU75" s="210"/>
      <c r="AV75" s="229"/>
      <c r="AW75" s="445">
        <f t="shared" ref="AW75:AW82" si="18">SUM(AK75:AV75)</f>
        <v>0</v>
      </c>
      <c r="AX75" s="263">
        <f t="shared" si="6"/>
        <v>0</v>
      </c>
    </row>
    <row r="76" spans="1:50" ht="15">
      <c r="A76" s="573">
        <v>43</v>
      </c>
      <c r="B76" s="568" t="s">
        <v>173</v>
      </c>
      <c r="C76" s="566">
        <v>3244</v>
      </c>
      <c r="D76" s="567">
        <v>5656950</v>
      </c>
      <c r="E76" s="736" t="s">
        <v>172</v>
      </c>
      <c r="F76" s="737"/>
      <c r="G76" s="738"/>
      <c r="H76" s="319">
        <f t="shared" si="7"/>
        <v>5656950</v>
      </c>
      <c r="I76" s="155"/>
      <c r="J76" s="222"/>
      <c r="K76" s="155"/>
      <c r="L76" s="48"/>
      <c r="M76" s="210"/>
      <c r="N76" s="48">
        <v>3959865</v>
      </c>
      <c r="O76" s="33"/>
      <c r="P76" s="212"/>
      <c r="Q76" s="33"/>
      <c r="R76" s="33"/>
      <c r="S76" s="33">
        <v>1697085</v>
      </c>
      <c r="T76" s="21"/>
      <c r="U76" s="177"/>
      <c r="V76" s="210"/>
      <c r="W76" s="210"/>
      <c r="X76" s="210"/>
      <c r="Y76" s="48"/>
      <c r="Z76" s="210"/>
      <c r="AA76" s="210"/>
      <c r="AB76" s="210"/>
      <c r="AC76" s="210"/>
      <c r="AD76" s="210"/>
      <c r="AE76" s="48"/>
      <c r="AF76" s="48"/>
      <c r="AG76" s="12">
        <f t="shared" si="17"/>
        <v>0</v>
      </c>
      <c r="AH76" s="263">
        <f t="shared" si="15"/>
        <v>5656950</v>
      </c>
      <c r="AK76" s="236"/>
      <c r="AL76" s="210"/>
      <c r="AM76" s="210"/>
      <c r="AN76" s="210"/>
      <c r="AO76" s="48"/>
      <c r="AP76" s="210"/>
      <c r="AQ76" s="210"/>
      <c r="AR76" s="210"/>
      <c r="AS76" s="210"/>
      <c r="AT76" s="210"/>
      <c r="AU76" s="210"/>
      <c r="AV76" s="229"/>
      <c r="AW76" s="445">
        <f t="shared" si="18"/>
        <v>0</v>
      </c>
      <c r="AX76" s="263">
        <f t="shared" si="6"/>
        <v>0</v>
      </c>
    </row>
    <row r="77" spans="1:50" ht="15">
      <c r="A77" s="18">
        <v>44</v>
      </c>
      <c r="B77" s="52" t="s">
        <v>188</v>
      </c>
      <c r="C77" s="145"/>
      <c r="D77" s="43"/>
      <c r="E77" s="479"/>
      <c r="F77" s="480"/>
      <c r="G77" s="480"/>
      <c r="H77" s="319">
        <f t="shared" si="7"/>
        <v>0</v>
      </c>
      <c r="I77" s="155"/>
      <c r="J77" s="222"/>
      <c r="K77" s="155"/>
      <c r="L77" s="48"/>
      <c r="M77" s="210"/>
      <c r="N77" s="48"/>
      <c r="O77" s="33"/>
      <c r="P77" s="212"/>
      <c r="Q77" s="33"/>
      <c r="R77" s="33"/>
      <c r="S77" s="33"/>
      <c r="T77" s="21"/>
      <c r="U77" s="177"/>
      <c r="V77" s="210"/>
      <c r="W77" s="210"/>
      <c r="X77" s="210"/>
      <c r="Y77" s="48"/>
      <c r="Z77" s="210"/>
      <c r="AA77" s="210"/>
      <c r="AB77" s="210"/>
      <c r="AC77" s="210"/>
      <c r="AD77" s="210"/>
      <c r="AE77" s="48"/>
      <c r="AF77" s="48"/>
      <c r="AG77" s="12">
        <f t="shared" si="17"/>
        <v>0</v>
      </c>
      <c r="AH77" s="263">
        <f t="shared" si="15"/>
        <v>0</v>
      </c>
      <c r="AK77" s="236"/>
      <c r="AL77" s="210"/>
      <c r="AM77" s="210"/>
      <c r="AN77" s="210"/>
      <c r="AO77" s="48"/>
      <c r="AP77" s="210"/>
      <c r="AQ77" s="210"/>
      <c r="AR77" s="210"/>
      <c r="AS77" s="210"/>
      <c r="AT77" s="210"/>
      <c r="AU77" s="210"/>
      <c r="AV77" s="229"/>
      <c r="AW77" s="445">
        <f t="shared" si="18"/>
        <v>0</v>
      </c>
      <c r="AX77" s="263">
        <f t="shared" si="6"/>
        <v>0</v>
      </c>
    </row>
    <row r="78" spans="1:50" ht="15">
      <c r="A78" s="18">
        <v>45</v>
      </c>
      <c r="B78" s="52" t="s">
        <v>189</v>
      </c>
      <c r="C78" s="145"/>
      <c r="D78" s="43"/>
      <c r="E78" s="720" t="s">
        <v>172</v>
      </c>
      <c r="F78" s="721"/>
      <c r="G78" s="722"/>
      <c r="H78" s="319">
        <f t="shared" si="7"/>
        <v>0</v>
      </c>
      <c r="I78" s="155"/>
      <c r="J78" s="222"/>
      <c r="K78" s="155"/>
      <c r="L78" s="48"/>
      <c r="M78" s="210"/>
      <c r="N78" s="48"/>
      <c r="O78" s="33"/>
      <c r="P78" s="212"/>
      <c r="Q78" s="33"/>
      <c r="R78" s="33"/>
      <c r="S78" s="33"/>
      <c r="T78" s="21"/>
      <c r="U78" s="177"/>
      <c r="V78" s="210"/>
      <c r="W78" s="210"/>
      <c r="X78" s="210"/>
      <c r="Y78" s="48"/>
      <c r="Z78" s="210"/>
      <c r="AA78" s="210"/>
      <c r="AB78" s="210"/>
      <c r="AC78" s="210"/>
      <c r="AD78" s="210"/>
      <c r="AE78" s="48"/>
      <c r="AF78" s="48"/>
      <c r="AG78" s="12">
        <f t="shared" si="17"/>
        <v>0</v>
      </c>
      <c r="AH78" s="263">
        <f t="shared" si="15"/>
        <v>0</v>
      </c>
      <c r="AK78" s="236"/>
      <c r="AL78" s="210"/>
      <c r="AM78" s="210"/>
      <c r="AN78" s="210"/>
      <c r="AO78" s="48"/>
      <c r="AP78" s="210"/>
      <c r="AQ78" s="210"/>
      <c r="AR78" s="210"/>
      <c r="AS78" s="210"/>
      <c r="AT78" s="210"/>
      <c r="AU78" s="210"/>
      <c r="AV78" s="229"/>
      <c r="AW78" s="445">
        <f t="shared" si="18"/>
        <v>0</v>
      </c>
      <c r="AX78" s="263">
        <f>+AG78-AW78</f>
        <v>0</v>
      </c>
    </row>
    <row r="79" spans="1:50" ht="15">
      <c r="A79" s="18"/>
      <c r="B79" s="52" t="s">
        <v>205</v>
      </c>
      <c r="C79" s="145"/>
      <c r="D79" s="43"/>
      <c r="E79" s="479"/>
      <c r="F79" s="480"/>
      <c r="G79" s="480"/>
      <c r="H79" s="319">
        <f t="shared" si="7"/>
        <v>0</v>
      </c>
      <c r="I79" s="155"/>
      <c r="J79" s="222"/>
      <c r="K79" s="155"/>
      <c r="L79" s="48"/>
      <c r="M79" s="210"/>
      <c r="N79" s="48"/>
      <c r="O79" s="33"/>
      <c r="P79" s="212"/>
      <c r="Q79" s="33"/>
      <c r="R79" s="33"/>
      <c r="S79" s="33"/>
      <c r="T79" s="21"/>
      <c r="U79" s="177"/>
      <c r="V79" s="210"/>
      <c r="W79" s="210"/>
      <c r="X79" s="210"/>
      <c r="Y79" s="48"/>
      <c r="Z79" s="210"/>
      <c r="AA79" s="210"/>
      <c r="AB79" s="210"/>
      <c r="AC79" s="210"/>
      <c r="AD79" s="210"/>
      <c r="AE79" s="48"/>
      <c r="AF79" s="48"/>
      <c r="AG79" s="12">
        <f t="shared" si="17"/>
        <v>0</v>
      </c>
      <c r="AH79" s="263">
        <f t="shared" si="15"/>
        <v>0</v>
      </c>
      <c r="AK79" s="236"/>
      <c r="AL79" s="210"/>
      <c r="AM79" s="210"/>
      <c r="AN79" s="210"/>
      <c r="AO79" s="48"/>
      <c r="AP79" s="210"/>
      <c r="AQ79" s="210"/>
      <c r="AR79" s="210"/>
      <c r="AS79" s="210"/>
      <c r="AT79" s="210"/>
      <c r="AU79" s="210"/>
      <c r="AV79" s="229"/>
      <c r="AW79" s="445">
        <f t="shared" si="18"/>
        <v>0</v>
      </c>
      <c r="AX79" s="263">
        <f>+AG79-AW79</f>
        <v>0</v>
      </c>
    </row>
    <row r="80" spans="1:50" ht="15">
      <c r="A80" s="18">
        <v>46</v>
      </c>
      <c r="B80" s="52" t="s">
        <v>105</v>
      </c>
      <c r="C80" s="145"/>
      <c r="D80" s="43"/>
      <c r="E80" s="174"/>
      <c r="F80" s="175"/>
      <c r="G80" s="176"/>
      <c r="H80" s="319">
        <f t="shared" si="7"/>
        <v>0</v>
      </c>
      <c r="I80" s="155"/>
      <c r="J80" s="222"/>
      <c r="K80" s="155"/>
      <c r="L80" s="48"/>
      <c r="M80" s="210"/>
      <c r="N80" s="48"/>
      <c r="O80" s="33"/>
      <c r="P80" s="212"/>
      <c r="Q80" s="33"/>
      <c r="R80" s="33"/>
      <c r="S80" s="33"/>
      <c r="T80" s="21"/>
      <c r="U80" s="177"/>
      <c r="V80" s="210"/>
      <c r="W80" s="210"/>
      <c r="X80" s="210"/>
      <c r="Y80" s="48"/>
      <c r="Z80" s="210"/>
      <c r="AA80" s="210"/>
      <c r="AB80" s="210"/>
      <c r="AC80" s="210"/>
      <c r="AD80" s="210"/>
      <c r="AE80" s="48"/>
      <c r="AF80" s="48"/>
      <c r="AG80" s="12">
        <f t="shared" si="17"/>
        <v>0</v>
      </c>
      <c r="AH80" s="263">
        <f t="shared" si="15"/>
        <v>0</v>
      </c>
      <c r="AK80" s="236"/>
      <c r="AL80" s="210"/>
      <c r="AM80" s="210"/>
      <c r="AN80" s="210"/>
      <c r="AO80" s="48"/>
      <c r="AP80" s="210"/>
      <c r="AQ80" s="210"/>
      <c r="AR80" s="210"/>
      <c r="AS80" s="210"/>
      <c r="AT80" s="210"/>
      <c r="AU80" s="210"/>
      <c r="AV80" s="229"/>
      <c r="AW80" s="445">
        <f t="shared" si="18"/>
        <v>0</v>
      </c>
      <c r="AX80" s="263">
        <f>+AG80-AW80</f>
        <v>0</v>
      </c>
    </row>
    <row r="81" spans="1:50" ht="15">
      <c r="A81" s="621"/>
      <c r="B81" s="568" t="s">
        <v>262</v>
      </c>
      <c r="C81" s="566" t="s">
        <v>263</v>
      </c>
      <c r="D81" s="567">
        <v>8446965</v>
      </c>
      <c r="E81" s="563">
        <f>+D81</f>
        <v>8446965</v>
      </c>
      <c r="F81" s="564"/>
      <c r="G81" s="565"/>
      <c r="H81" s="319">
        <f t="shared" si="7"/>
        <v>8446965</v>
      </c>
      <c r="I81" s="155"/>
      <c r="J81" s="222"/>
      <c r="K81" s="155"/>
      <c r="L81" s="48"/>
      <c r="M81" s="210"/>
      <c r="N81" s="48"/>
      <c r="O81" s="33"/>
      <c r="P81" s="212"/>
      <c r="Q81" s="33"/>
      <c r="R81" s="33">
        <v>8446965</v>
      </c>
      <c r="S81" s="33"/>
      <c r="T81" s="21"/>
      <c r="U81" s="177"/>
      <c r="V81" s="210"/>
      <c r="W81" s="210"/>
      <c r="X81" s="210"/>
      <c r="Y81" s="48"/>
      <c r="Z81" s="210"/>
      <c r="AA81" s="210"/>
      <c r="AB81" s="210"/>
      <c r="AC81" s="210"/>
      <c r="AD81" s="210">
        <v>8446965</v>
      </c>
      <c r="AE81" s="48"/>
      <c r="AF81" s="48"/>
      <c r="AG81" s="12">
        <f t="shared" si="17"/>
        <v>8446965</v>
      </c>
      <c r="AH81" s="263">
        <f>+H81-AG81</f>
        <v>0</v>
      </c>
      <c r="AK81" s="236"/>
      <c r="AL81" s="210"/>
      <c r="AM81" s="210"/>
      <c r="AN81" s="210"/>
      <c r="AO81" s="48"/>
      <c r="AP81" s="210"/>
      <c r="AQ81" s="210"/>
      <c r="AR81" s="210"/>
      <c r="AS81" s="210"/>
      <c r="AT81" s="210"/>
      <c r="AU81" s="210"/>
      <c r="AV81" s="229"/>
      <c r="AW81" s="445">
        <f t="shared" si="18"/>
        <v>0</v>
      </c>
      <c r="AX81" s="263">
        <f>+AG81-AW81</f>
        <v>8446965</v>
      </c>
    </row>
    <row r="82" spans="1:50" ht="15.75" thickBot="1">
      <c r="A82" s="145"/>
      <c r="B82" s="52" t="s">
        <v>127</v>
      </c>
      <c r="C82" s="145"/>
      <c r="D82" s="43"/>
      <c r="E82" s="174"/>
      <c r="F82" s="175"/>
      <c r="G82" s="176"/>
      <c r="H82" s="319">
        <f t="shared" si="7"/>
        <v>353698</v>
      </c>
      <c r="I82" s="155"/>
      <c r="J82" s="222"/>
      <c r="K82" s="155">
        <v>353698</v>
      </c>
      <c r="L82" s="48">
        <v>0</v>
      </c>
      <c r="M82" s="210"/>
      <c r="N82" s="48"/>
      <c r="O82" s="33"/>
      <c r="P82" s="212"/>
      <c r="Q82" s="33"/>
      <c r="R82" s="33"/>
      <c r="S82" s="33"/>
      <c r="T82" s="21"/>
      <c r="U82" s="177"/>
      <c r="V82" s="210"/>
      <c r="W82" s="210">
        <v>353698</v>
      </c>
      <c r="X82" s="210"/>
      <c r="Y82" s="48"/>
      <c r="Z82" s="210"/>
      <c r="AA82" s="210"/>
      <c r="AB82" s="210"/>
      <c r="AC82" s="210"/>
      <c r="AD82" s="210"/>
      <c r="AE82" s="48"/>
      <c r="AF82" s="48"/>
      <c r="AG82" s="12">
        <f t="shared" si="17"/>
        <v>353698</v>
      </c>
      <c r="AH82" s="263">
        <f>+H82-AG82</f>
        <v>0</v>
      </c>
      <c r="AK82" s="236"/>
      <c r="AL82" s="210"/>
      <c r="AM82" s="210"/>
      <c r="AN82" s="210"/>
      <c r="AO82" s="48"/>
      <c r="AP82" s="210"/>
      <c r="AQ82" s="210"/>
      <c r="AR82" s="210"/>
      <c r="AS82" s="210"/>
      <c r="AT82" s="210"/>
      <c r="AU82" s="210"/>
      <c r="AV82" s="229"/>
      <c r="AW82" s="445">
        <f t="shared" si="18"/>
        <v>0</v>
      </c>
      <c r="AX82" s="263">
        <f>+AG82-AW82</f>
        <v>353698</v>
      </c>
    </row>
    <row r="83" spans="1:50" ht="15.75" thickBot="1">
      <c r="A83" s="764" t="s">
        <v>93</v>
      </c>
      <c r="B83" s="765"/>
      <c r="C83" s="766"/>
      <c r="D83" s="85">
        <f>SUM(D34:D80)</f>
        <v>1316586553</v>
      </c>
      <c r="E83" s="86"/>
      <c r="F83" s="87"/>
      <c r="G83" s="88"/>
      <c r="H83" s="342">
        <f t="shared" ref="H83:AG83" si="19">SUM(H34:H82)</f>
        <v>1325348938</v>
      </c>
      <c r="I83" s="116">
        <f t="shared" si="19"/>
        <v>0</v>
      </c>
      <c r="J83" s="256">
        <f t="shared" si="19"/>
        <v>0</v>
      </c>
      <c r="K83" s="117">
        <f t="shared" si="19"/>
        <v>491300845.89999998</v>
      </c>
      <c r="L83" s="117">
        <f t="shared" si="19"/>
        <v>146528673</v>
      </c>
      <c r="M83" s="256">
        <f t="shared" si="19"/>
        <v>137221785.5</v>
      </c>
      <c r="N83" s="117">
        <f t="shared" si="19"/>
        <v>39303680</v>
      </c>
      <c r="O83" s="117">
        <f t="shared" si="19"/>
        <v>28615408</v>
      </c>
      <c r="P83" s="256">
        <f t="shared" si="19"/>
        <v>35433707</v>
      </c>
      <c r="Q83" s="117">
        <f t="shared" si="19"/>
        <v>29519221</v>
      </c>
      <c r="R83" s="117">
        <f t="shared" si="19"/>
        <v>286562907.89999998</v>
      </c>
      <c r="S83" s="117">
        <f t="shared" si="19"/>
        <v>96768869.200000003</v>
      </c>
      <c r="T83" s="117">
        <f t="shared" si="19"/>
        <v>34093840.5</v>
      </c>
      <c r="U83" s="115">
        <f t="shared" si="19"/>
        <v>0</v>
      </c>
      <c r="V83" s="115">
        <f t="shared" si="19"/>
        <v>0</v>
      </c>
      <c r="W83" s="115">
        <f t="shared" si="19"/>
        <v>491300846.29999995</v>
      </c>
      <c r="X83" s="115">
        <f t="shared" si="19"/>
        <v>146528673</v>
      </c>
      <c r="Y83" s="115">
        <f t="shared" si="19"/>
        <v>137221785.5</v>
      </c>
      <c r="Z83" s="241">
        <f t="shared" si="19"/>
        <v>4583787</v>
      </c>
      <c r="AA83" s="241">
        <f t="shared" si="19"/>
        <v>26795</v>
      </c>
      <c r="AB83" s="241">
        <f t="shared" si="19"/>
        <v>40125884</v>
      </c>
      <c r="AC83" s="241">
        <f t="shared" si="19"/>
        <v>69536392</v>
      </c>
      <c r="AD83" s="241">
        <f t="shared" si="19"/>
        <v>236636187.90000001</v>
      </c>
      <c r="AE83" s="667">
        <f t="shared" si="19"/>
        <v>145518537.19999999</v>
      </c>
      <c r="AF83" s="667">
        <f t="shared" si="19"/>
        <v>37729529.039999999</v>
      </c>
      <c r="AG83" s="115">
        <f t="shared" si="19"/>
        <v>1309208416.9400001</v>
      </c>
      <c r="AH83" s="262">
        <f>+H83-AG83</f>
        <v>16140521.059999943</v>
      </c>
      <c r="AK83" s="425">
        <f t="shared" ref="AK83:AX83" si="20">SUM(AK34:AK82)</f>
        <v>0</v>
      </c>
      <c r="AL83" s="424">
        <f t="shared" si="20"/>
        <v>0</v>
      </c>
      <c r="AM83" s="424">
        <f t="shared" si="20"/>
        <v>0</v>
      </c>
      <c r="AN83" s="424">
        <f t="shared" si="20"/>
        <v>0</v>
      </c>
      <c r="AO83" s="424">
        <f t="shared" si="20"/>
        <v>0</v>
      </c>
      <c r="AP83" s="425">
        <f t="shared" si="20"/>
        <v>0</v>
      </c>
      <c r="AQ83" s="425">
        <f t="shared" si="20"/>
        <v>287841779</v>
      </c>
      <c r="AR83" s="425">
        <f t="shared" si="20"/>
        <v>380629906</v>
      </c>
      <c r="AS83" s="425">
        <f t="shared" si="20"/>
        <v>31473826</v>
      </c>
      <c r="AT83" s="425">
        <f t="shared" si="20"/>
        <v>143582879</v>
      </c>
      <c r="AU83" s="425">
        <f>SUM(AU34:AU82)</f>
        <v>36876302</v>
      </c>
      <c r="AV83" s="438">
        <f t="shared" si="20"/>
        <v>31250048</v>
      </c>
      <c r="AW83" s="447">
        <f t="shared" si="20"/>
        <v>911654740</v>
      </c>
      <c r="AX83" s="430">
        <f t="shared" si="20"/>
        <v>397553676.94</v>
      </c>
    </row>
    <row r="84" spans="1:50" s="376" customFormat="1" ht="15.75" thickBot="1">
      <c r="D84" s="377"/>
      <c r="E84" s="378"/>
      <c r="F84" s="378"/>
      <c r="G84" s="378"/>
      <c r="J84" s="379"/>
      <c r="M84" s="379"/>
      <c r="P84" s="207"/>
      <c r="Q84" s="754" t="s">
        <v>146</v>
      </c>
      <c r="R84" s="755"/>
      <c r="S84" s="755"/>
      <c r="T84" s="755"/>
      <c r="U84" s="400">
        <v>3449538</v>
      </c>
      <c r="V84" s="400">
        <v>3449540</v>
      </c>
      <c r="W84" s="400">
        <v>3449543</v>
      </c>
      <c r="X84" s="400">
        <v>3449547</v>
      </c>
      <c r="Y84" s="401">
        <v>3452137</v>
      </c>
      <c r="Z84" s="478">
        <v>3467816</v>
      </c>
      <c r="AA84" s="484">
        <v>3479939</v>
      </c>
      <c r="AB84" s="478">
        <v>3491817</v>
      </c>
      <c r="AC84" s="516">
        <v>3510147</v>
      </c>
      <c r="AD84" s="516">
        <v>3513778</v>
      </c>
      <c r="AE84" s="668"/>
      <c r="AF84" s="668"/>
      <c r="AH84" s="379"/>
      <c r="AK84" s="207"/>
      <c r="AQ84" s="207"/>
      <c r="AR84" s="207"/>
      <c r="AS84" s="207"/>
      <c r="AT84" s="207"/>
      <c r="AU84" s="207"/>
      <c r="AV84" s="207"/>
    </row>
    <row r="85" spans="1:50" ht="15.75" thickBot="1">
      <c r="A85" s="761" t="s">
        <v>94</v>
      </c>
      <c r="B85" s="762"/>
      <c r="C85" s="763"/>
      <c r="D85" s="133">
        <f>+D83+D30</f>
        <v>5949354757</v>
      </c>
      <c r="E85" s="127"/>
      <c r="F85" s="128"/>
      <c r="G85" s="128"/>
      <c r="H85" s="129">
        <f>+H30</f>
        <v>5088233624.4606934</v>
      </c>
      <c r="I85" s="130">
        <f t="shared" ref="I85:AH85" si="21">+I83+I30</f>
        <v>385909695</v>
      </c>
      <c r="J85" s="215">
        <f t="shared" si="21"/>
        <v>385875741</v>
      </c>
      <c r="K85" s="130">
        <f t="shared" si="21"/>
        <v>877224082.02735996</v>
      </c>
      <c r="L85" s="130">
        <f t="shared" si="21"/>
        <v>638174800</v>
      </c>
      <c r="M85" s="215">
        <f t="shared" si="21"/>
        <v>523145021.5</v>
      </c>
      <c r="N85" s="130">
        <f t="shared" si="21"/>
        <v>533615841</v>
      </c>
      <c r="O85" s="130">
        <f t="shared" si="21"/>
        <v>414538644</v>
      </c>
      <c r="P85" s="215">
        <f t="shared" si="21"/>
        <v>421356943</v>
      </c>
      <c r="Q85" s="130">
        <f t="shared" si="21"/>
        <v>524136312.33333331</v>
      </c>
      <c r="R85" s="130">
        <f t="shared" si="21"/>
        <v>672486143.89999998</v>
      </c>
      <c r="S85" s="130">
        <f t="shared" si="21"/>
        <v>508429415.19999999</v>
      </c>
      <c r="T85" s="131">
        <f t="shared" si="21"/>
        <v>528689923.5</v>
      </c>
      <c r="U85" s="129">
        <f t="shared" si="21"/>
        <v>386064017</v>
      </c>
      <c r="V85" s="215">
        <f t="shared" si="21"/>
        <v>386067912</v>
      </c>
      <c r="W85" s="285">
        <f t="shared" si="21"/>
        <v>877767067.29999995</v>
      </c>
      <c r="X85" s="242">
        <f t="shared" si="21"/>
        <v>637285322</v>
      </c>
      <c r="Y85" s="375">
        <f t="shared" si="21"/>
        <v>523145021.5</v>
      </c>
      <c r="Z85" s="285">
        <f t="shared" si="21"/>
        <v>498895948</v>
      </c>
      <c r="AA85" s="242">
        <f t="shared" si="21"/>
        <v>385950031</v>
      </c>
      <c r="AB85" s="215">
        <f t="shared" si="21"/>
        <v>426049120</v>
      </c>
      <c r="AC85" s="285">
        <f t="shared" si="21"/>
        <v>564153483.33333325</v>
      </c>
      <c r="AD85" s="242">
        <f t="shared" si="21"/>
        <v>622559423.89999998</v>
      </c>
      <c r="AE85" s="375">
        <f t="shared" si="21"/>
        <v>531441773.19999999</v>
      </c>
      <c r="AF85" s="685">
        <f t="shared" si="21"/>
        <v>558062922.03999996</v>
      </c>
      <c r="AG85" s="283">
        <f t="shared" si="21"/>
        <v>6397442041.2733345</v>
      </c>
      <c r="AH85" s="264">
        <f t="shared" si="21"/>
        <v>16140521.187359333</v>
      </c>
    </row>
    <row r="87" spans="1:50" ht="15" thickBot="1">
      <c r="D87" s="1"/>
      <c r="E87" s="1"/>
      <c r="F87" s="1"/>
      <c r="G87" s="1"/>
      <c r="AH87" s="207">
        <f>+AH75+AH76</f>
        <v>8758972</v>
      </c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1649898996.3</v>
      </c>
    </row>
    <row r="90" spans="1:50">
      <c r="A90" s="276" t="s">
        <v>120</v>
      </c>
      <c r="B90" s="706" t="s">
        <v>124</v>
      </c>
      <c r="C90" s="707"/>
      <c r="D90" s="277">
        <f>+X85+Y85+Z85</f>
        <v>1659326291.5</v>
      </c>
    </row>
    <row r="91" spans="1:50">
      <c r="A91" s="276" t="s">
        <v>121</v>
      </c>
      <c r="B91" s="706" t="s">
        <v>125</v>
      </c>
      <c r="C91" s="707"/>
      <c r="D91" s="277">
        <f>+AA85+AB85+AC85</f>
        <v>1376152634.3333333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1712064119.1399999</v>
      </c>
      <c r="F92" s="299"/>
    </row>
    <row r="93" spans="1:50" ht="15.75" customHeight="1" thickBot="1">
      <c r="A93" s="756" t="s">
        <v>117</v>
      </c>
      <c r="B93" s="757"/>
      <c r="C93" s="757"/>
      <c r="D93" s="280">
        <f>SUM(D89:D92)</f>
        <v>6397442041.2733326</v>
      </c>
    </row>
    <row r="97" spans="2:5" ht="15">
      <c r="B97" s="509" t="s">
        <v>234</v>
      </c>
      <c r="E97" s="1"/>
    </row>
    <row r="98" spans="2:5">
      <c r="B98" s="700" t="s">
        <v>237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 t="s">
        <v>74</v>
      </c>
      <c r="D102" s="6">
        <v>34102684</v>
      </c>
    </row>
    <row r="103" spans="2:5" ht="15">
      <c r="C103" s="508" t="s">
        <v>236</v>
      </c>
      <c r="D103" s="6">
        <v>6845094</v>
      </c>
    </row>
    <row r="104" spans="2:5" ht="15">
      <c r="C104" s="508" t="s">
        <v>82</v>
      </c>
      <c r="D104" s="511">
        <v>11537271</v>
      </c>
    </row>
    <row r="105" spans="2:5">
      <c r="D105" s="6">
        <f>SUM(D102:D104)</f>
        <v>52485049</v>
      </c>
    </row>
  </sheetData>
  <mergeCells count="24">
    <mergeCell ref="A30:B30"/>
    <mergeCell ref="A85:C85"/>
    <mergeCell ref="B32:D32"/>
    <mergeCell ref="A83:C83"/>
    <mergeCell ref="H5:AD7"/>
    <mergeCell ref="B14:D14"/>
    <mergeCell ref="E14:G14"/>
    <mergeCell ref="H14:T14"/>
    <mergeCell ref="U14:AG14"/>
    <mergeCell ref="B98:E100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  <mergeCell ref="A93:C93"/>
    <mergeCell ref="B88:D8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44"/>
  <sheetViews>
    <sheetView workbookViewId="0">
      <selection activeCell="H18" sqref="H18"/>
    </sheetView>
  </sheetViews>
  <sheetFormatPr baseColWidth="10" defaultRowHeight="15"/>
  <cols>
    <col min="1" max="1" width="5.85546875" bestFit="1" customWidth="1"/>
    <col min="2" max="2" width="56.5703125" bestFit="1" customWidth="1"/>
    <col min="4" max="4" width="23.5703125" customWidth="1"/>
    <col min="5" max="5" width="13.5703125" bestFit="1" customWidth="1"/>
    <col min="6" max="6" width="12" bestFit="1" customWidth="1"/>
    <col min="7" max="7" width="11.5703125" bestFit="1" customWidth="1"/>
    <col min="8" max="8" width="22.140625" customWidth="1"/>
    <col min="9" max="10" width="11.5703125" bestFit="1" customWidth="1"/>
    <col min="11" max="13" width="12" bestFit="1" customWidth="1"/>
    <col min="14" max="16" width="11.5703125" bestFit="1" customWidth="1"/>
    <col min="17" max="17" width="14" customWidth="1"/>
    <col min="18" max="18" width="11.5703125" bestFit="1" customWidth="1"/>
    <col min="19" max="19" width="14" customWidth="1"/>
    <col min="20" max="20" width="12.85546875" customWidth="1"/>
    <col min="21" max="21" width="11.5703125" bestFit="1" customWidth="1"/>
    <col min="22" max="22" width="12" customWidth="1"/>
    <col min="23" max="25" width="12" bestFit="1" customWidth="1"/>
    <col min="26" max="27" width="11.5703125" bestFit="1" customWidth="1"/>
    <col min="28" max="28" width="11.7109375" customWidth="1"/>
    <col min="29" max="29" width="15" customWidth="1"/>
    <col min="30" max="30" width="12.42578125" customWidth="1"/>
    <col min="31" max="31" width="15" customWidth="1"/>
    <col min="32" max="32" width="13.85546875" customWidth="1"/>
    <col min="33" max="33" width="26.140625" customWidth="1"/>
  </cols>
  <sheetData>
    <row r="1" spans="1:33">
      <c r="A1" s="386" t="s">
        <v>7</v>
      </c>
      <c r="B1" s="386" t="s">
        <v>8</v>
      </c>
      <c r="C1" s="386" t="s">
        <v>73</v>
      </c>
      <c r="D1" s="386" t="s">
        <v>10</v>
      </c>
      <c r="E1" s="386" t="s">
        <v>155</v>
      </c>
      <c r="F1" s="386" t="s">
        <v>156</v>
      </c>
      <c r="G1" s="386" t="s">
        <v>157</v>
      </c>
      <c r="H1" s="386" t="s">
        <v>11</v>
      </c>
      <c r="I1" s="386" t="s">
        <v>12</v>
      </c>
      <c r="J1" s="386" t="s">
        <v>13</v>
      </c>
      <c r="K1" s="386" t="s">
        <v>14</v>
      </c>
      <c r="L1" s="386" t="s">
        <v>15</v>
      </c>
      <c r="M1" s="386" t="s">
        <v>16</v>
      </c>
      <c r="N1" s="386" t="s">
        <v>17</v>
      </c>
      <c r="O1" s="386" t="s">
        <v>18</v>
      </c>
      <c r="P1" s="386" t="s">
        <v>19</v>
      </c>
      <c r="Q1" s="386" t="s">
        <v>20</v>
      </c>
      <c r="R1" s="386" t="s">
        <v>21</v>
      </c>
      <c r="S1" s="386" t="s">
        <v>22</v>
      </c>
      <c r="T1" s="386" t="s">
        <v>23</v>
      </c>
      <c r="U1" s="386" t="s">
        <v>158</v>
      </c>
      <c r="V1" s="386" t="s">
        <v>159</v>
      </c>
      <c r="W1" s="386" t="s">
        <v>160</v>
      </c>
      <c r="X1" s="386" t="s">
        <v>161</v>
      </c>
      <c r="Y1" s="386" t="s">
        <v>162</v>
      </c>
      <c r="Z1" s="386" t="s">
        <v>163</v>
      </c>
      <c r="AA1" s="386" t="s">
        <v>164</v>
      </c>
      <c r="AB1" s="386" t="s">
        <v>165</v>
      </c>
      <c r="AC1" s="386" t="s">
        <v>166</v>
      </c>
      <c r="AD1" s="386" t="s">
        <v>167</v>
      </c>
      <c r="AE1" s="386" t="s">
        <v>168</v>
      </c>
      <c r="AF1" s="386" t="s">
        <v>169</v>
      </c>
      <c r="AG1" s="386" t="s">
        <v>24</v>
      </c>
    </row>
    <row r="2" spans="1:33">
      <c r="A2" s="386">
        <v>10</v>
      </c>
      <c r="B2" s="386" t="s">
        <v>80</v>
      </c>
      <c r="C2" s="386"/>
      <c r="D2" s="386">
        <v>0</v>
      </c>
      <c r="E2" s="386"/>
      <c r="F2" s="386"/>
      <c r="G2" s="386"/>
      <c r="H2" s="386">
        <v>0</v>
      </c>
      <c r="I2" s="386">
        <v>0</v>
      </c>
      <c r="J2" s="386">
        <v>0</v>
      </c>
      <c r="K2" s="386">
        <v>0</v>
      </c>
      <c r="L2" s="386">
        <v>0</v>
      </c>
      <c r="M2" s="386">
        <v>0</v>
      </c>
      <c r="N2" s="386">
        <v>0</v>
      </c>
      <c r="O2" s="386">
        <v>0</v>
      </c>
      <c r="P2" s="386">
        <v>0</v>
      </c>
      <c r="Q2" s="386">
        <v>0</v>
      </c>
      <c r="R2" s="386">
        <v>0</v>
      </c>
      <c r="S2" s="386">
        <v>0</v>
      </c>
      <c r="T2" s="386">
        <v>0</v>
      </c>
      <c r="U2" s="386">
        <v>0</v>
      </c>
      <c r="V2" s="386">
        <v>0</v>
      </c>
      <c r="W2" s="386">
        <v>0</v>
      </c>
      <c r="X2" s="386">
        <v>0</v>
      </c>
      <c r="Y2" s="386">
        <v>0</v>
      </c>
      <c r="Z2" s="386">
        <v>0</v>
      </c>
      <c r="AA2" s="386">
        <v>0</v>
      </c>
      <c r="AB2" s="386">
        <v>0</v>
      </c>
      <c r="AC2" s="386">
        <v>0</v>
      </c>
      <c r="AD2" s="386">
        <v>0</v>
      </c>
      <c r="AE2" s="386">
        <v>0</v>
      </c>
      <c r="AF2" s="386">
        <v>0</v>
      </c>
      <c r="AG2" s="386">
        <v>0</v>
      </c>
    </row>
    <row r="3" spans="1:33">
      <c r="A3" s="386">
        <v>6</v>
      </c>
      <c r="B3" s="386" t="s">
        <v>77</v>
      </c>
      <c r="C3" s="386"/>
      <c r="D3" s="386">
        <v>0</v>
      </c>
      <c r="E3" s="386"/>
      <c r="F3" s="386"/>
      <c r="G3" s="386"/>
      <c r="H3" s="386">
        <v>0</v>
      </c>
      <c r="I3" s="386">
        <v>0</v>
      </c>
      <c r="J3" s="386">
        <v>0</v>
      </c>
      <c r="K3" s="386">
        <v>0</v>
      </c>
      <c r="L3" s="386">
        <v>0</v>
      </c>
      <c r="M3" s="386">
        <v>0</v>
      </c>
      <c r="N3" s="386">
        <v>0</v>
      </c>
      <c r="O3" s="386">
        <v>0</v>
      </c>
      <c r="P3" s="386">
        <v>0</v>
      </c>
      <c r="Q3" s="386">
        <v>0</v>
      </c>
      <c r="R3" s="386">
        <v>0</v>
      </c>
      <c r="S3" s="386">
        <v>0</v>
      </c>
      <c r="T3" s="386">
        <v>0</v>
      </c>
      <c r="U3" s="386">
        <v>0</v>
      </c>
      <c r="V3" s="386">
        <v>0</v>
      </c>
      <c r="W3" s="386">
        <v>0</v>
      </c>
      <c r="X3" s="386">
        <v>0</v>
      </c>
      <c r="Y3" s="386">
        <v>0</v>
      </c>
      <c r="Z3" s="386">
        <v>0</v>
      </c>
      <c r="AA3" s="386">
        <v>0</v>
      </c>
      <c r="AB3" s="386">
        <v>0</v>
      </c>
      <c r="AC3" s="386">
        <v>0</v>
      </c>
      <c r="AD3" s="386">
        <v>0</v>
      </c>
      <c r="AE3" s="386">
        <v>0</v>
      </c>
      <c r="AF3" s="386">
        <v>0</v>
      </c>
      <c r="AG3" s="386">
        <v>0</v>
      </c>
    </row>
    <row r="4" spans="1:33">
      <c r="A4" s="386">
        <v>3</v>
      </c>
      <c r="B4" s="386" t="s">
        <v>75</v>
      </c>
      <c r="C4" s="386"/>
      <c r="D4" s="386">
        <v>0</v>
      </c>
      <c r="E4" s="386"/>
      <c r="F4" s="386"/>
      <c r="G4" s="386"/>
      <c r="H4" s="386">
        <v>0</v>
      </c>
      <c r="I4" s="386">
        <v>0</v>
      </c>
      <c r="J4" s="386">
        <v>0</v>
      </c>
      <c r="K4" s="386">
        <v>0</v>
      </c>
      <c r="L4" s="386">
        <v>0</v>
      </c>
      <c r="M4" s="386">
        <v>0</v>
      </c>
      <c r="N4" s="386">
        <v>0</v>
      </c>
      <c r="O4" s="386">
        <v>0</v>
      </c>
      <c r="P4" s="386">
        <v>0</v>
      </c>
      <c r="Q4" s="386">
        <v>0</v>
      </c>
      <c r="R4" s="386">
        <v>0</v>
      </c>
      <c r="S4" s="386">
        <v>0</v>
      </c>
      <c r="T4" s="386">
        <v>0</v>
      </c>
      <c r="U4" s="386">
        <v>0</v>
      </c>
      <c r="V4" s="386">
        <v>0</v>
      </c>
      <c r="W4" s="386">
        <v>0</v>
      </c>
      <c r="X4" s="386">
        <v>0</v>
      </c>
      <c r="Y4" s="386">
        <v>0</v>
      </c>
      <c r="Z4" s="386">
        <v>0</v>
      </c>
      <c r="AA4" s="386">
        <v>0</v>
      </c>
      <c r="AB4" s="386">
        <v>0</v>
      </c>
      <c r="AC4" s="386">
        <v>0</v>
      </c>
      <c r="AD4" s="386">
        <v>0</v>
      </c>
      <c r="AE4" s="386">
        <v>0</v>
      </c>
      <c r="AF4" s="386">
        <v>0</v>
      </c>
      <c r="AG4" s="386">
        <v>0</v>
      </c>
    </row>
    <row r="5" spans="1:33">
      <c r="A5" s="386"/>
      <c r="B5" s="386"/>
      <c r="C5" s="386"/>
      <c r="D5" s="386">
        <v>0</v>
      </c>
      <c r="E5" s="386"/>
      <c r="F5" s="386"/>
      <c r="G5" s="386"/>
      <c r="H5" s="386">
        <v>353698</v>
      </c>
      <c r="I5" s="386">
        <v>0</v>
      </c>
      <c r="J5" s="386">
        <v>0</v>
      </c>
      <c r="K5" s="386">
        <v>353698</v>
      </c>
      <c r="L5" s="386">
        <v>0</v>
      </c>
      <c r="M5" s="386">
        <v>0</v>
      </c>
      <c r="N5" s="386">
        <v>0</v>
      </c>
      <c r="O5" s="386">
        <v>0</v>
      </c>
      <c r="P5" s="386">
        <v>0</v>
      </c>
      <c r="Q5" s="386">
        <v>0</v>
      </c>
      <c r="R5" s="386">
        <v>0</v>
      </c>
      <c r="S5" s="386">
        <v>0</v>
      </c>
      <c r="T5" s="386">
        <v>0</v>
      </c>
      <c r="U5" s="386">
        <v>0</v>
      </c>
      <c r="V5" s="386">
        <v>0</v>
      </c>
      <c r="W5" s="386">
        <v>353698</v>
      </c>
      <c r="X5" s="386">
        <v>0</v>
      </c>
      <c r="Y5" s="386">
        <v>0</v>
      </c>
      <c r="Z5" s="386">
        <v>0</v>
      </c>
      <c r="AA5" s="386">
        <v>0</v>
      </c>
      <c r="AB5" s="386">
        <v>0</v>
      </c>
      <c r="AC5" s="386">
        <v>0</v>
      </c>
      <c r="AD5" s="386">
        <v>0</v>
      </c>
      <c r="AE5" s="386">
        <v>0</v>
      </c>
      <c r="AF5" s="386">
        <v>0</v>
      </c>
      <c r="AG5" s="386">
        <v>353698</v>
      </c>
    </row>
    <row r="6" spans="1:33">
      <c r="A6" s="386"/>
      <c r="B6" s="386" t="s">
        <v>139</v>
      </c>
      <c r="C6" s="386"/>
      <c r="D6" s="386">
        <v>1223299</v>
      </c>
      <c r="E6" s="386"/>
      <c r="F6" s="386"/>
      <c r="G6" s="386"/>
      <c r="H6" s="386">
        <v>0</v>
      </c>
      <c r="I6" s="386">
        <v>0</v>
      </c>
      <c r="J6" s="386">
        <v>0</v>
      </c>
      <c r="K6" s="386">
        <v>0</v>
      </c>
      <c r="L6" s="386">
        <v>0</v>
      </c>
      <c r="M6" s="386">
        <v>0</v>
      </c>
      <c r="N6" s="386">
        <v>0</v>
      </c>
      <c r="O6" s="386">
        <v>0</v>
      </c>
      <c r="P6" s="386">
        <v>0</v>
      </c>
      <c r="Q6" s="386">
        <v>0</v>
      </c>
      <c r="R6" s="386">
        <v>0</v>
      </c>
      <c r="S6" s="386">
        <v>0</v>
      </c>
      <c r="T6" s="386">
        <v>0</v>
      </c>
      <c r="U6" s="386">
        <v>0</v>
      </c>
      <c r="V6" s="386">
        <v>0</v>
      </c>
      <c r="W6" s="386">
        <v>0</v>
      </c>
      <c r="X6" s="386">
        <v>0</v>
      </c>
      <c r="Y6" s="386">
        <v>0</v>
      </c>
      <c r="Z6" s="386">
        <v>0</v>
      </c>
      <c r="AA6" s="386">
        <v>0</v>
      </c>
      <c r="AB6" s="386">
        <v>0</v>
      </c>
      <c r="AC6" s="386">
        <v>0</v>
      </c>
      <c r="AD6" s="386">
        <v>0</v>
      </c>
      <c r="AE6" s="386">
        <v>0</v>
      </c>
      <c r="AF6" s="386">
        <v>0</v>
      </c>
      <c r="AG6" s="386">
        <v>0</v>
      </c>
    </row>
    <row r="7" spans="1:33">
      <c r="A7" s="386"/>
      <c r="B7" s="386" t="s">
        <v>141</v>
      </c>
      <c r="C7" s="386"/>
      <c r="D7" s="386">
        <v>4366488</v>
      </c>
      <c r="E7" s="386"/>
      <c r="F7" s="386"/>
      <c r="G7" s="386"/>
      <c r="H7" s="386">
        <v>3903653</v>
      </c>
      <c r="I7" s="386">
        <v>0</v>
      </c>
      <c r="J7" s="386">
        <v>0</v>
      </c>
      <c r="K7" s="386">
        <v>0</v>
      </c>
      <c r="L7" s="386">
        <v>0</v>
      </c>
      <c r="M7" s="386">
        <v>3903653</v>
      </c>
      <c r="N7" s="386">
        <v>0</v>
      </c>
      <c r="O7" s="386">
        <v>0</v>
      </c>
      <c r="P7" s="386">
        <v>0</v>
      </c>
      <c r="Q7" s="386">
        <v>0</v>
      </c>
      <c r="R7" s="386">
        <v>0</v>
      </c>
      <c r="S7" s="386">
        <v>0</v>
      </c>
      <c r="T7" s="386">
        <v>0</v>
      </c>
      <c r="U7" s="386">
        <v>0</v>
      </c>
      <c r="V7" s="386">
        <v>0</v>
      </c>
      <c r="W7" s="386">
        <v>0</v>
      </c>
      <c r="X7" s="386">
        <v>0</v>
      </c>
      <c r="Y7" s="386">
        <v>3903653</v>
      </c>
      <c r="Z7" s="386">
        <v>0</v>
      </c>
      <c r="AA7" s="386">
        <v>0</v>
      </c>
      <c r="AB7" s="386">
        <v>0</v>
      </c>
      <c r="AC7" s="386">
        <v>0</v>
      </c>
      <c r="AD7" s="386">
        <v>0</v>
      </c>
      <c r="AE7" s="386">
        <v>0</v>
      </c>
      <c r="AF7" s="386">
        <v>0</v>
      </c>
      <c r="AG7" s="386">
        <v>3903653</v>
      </c>
    </row>
    <row r="8" spans="1:33">
      <c r="A8" s="386">
        <v>1</v>
      </c>
      <c r="B8" s="386" t="s">
        <v>99</v>
      </c>
      <c r="C8" s="386"/>
      <c r="D8" s="386">
        <v>13377108</v>
      </c>
      <c r="E8" s="386">
        <v>9363975.5999999996</v>
      </c>
      <c r="F8" s="386">
        <v>4013132.4</v>
      </c>
      <c r="G8" s="386"/>
      <c r="H8" s="386">
        <v>9363976.0999999978</v>
      </c>
      <c r="I8" s="386">
        <v>0</v>
      </c>
      <c r="J8" s="386">
        <v>0</v>
      </c>
      <c r="K8" s="386">
        <v>9363976.0999999978</v>
      </c>
      <c r="L8" s="386">
        <v>0</v>
      </c>
      <c r="M8" s="386">
        <v>0</v>
      </c>
      <c r="N8" s="386">
        <v>0</v>
      </c>
      <c r="O8" s="386">
        <v>0</v>
      </c>
      <c r="P8" s="386">
        <v>0</v>
      </c>
      <c r="Q8" s="386">
        <v>0</v>
      </c>
      <c r="R8" s="386">
        <v>0</v>
      </c>
      <c r="S8" s="386">
        <v>0</v>
      </c>
      <c r="T8" s="386">
        <v>0</v>
      </c>
      <c r="U8" s="386">
        <v>0</v>
      </c>
      <c r="V8" s="386">
        <v>0</v>
      </c>
      <c r="W8" s="386">
        <v>9363976.0999999978</v>
      </c>
      <c r="X8" s="386">
        <v>0</v>
      </c>
      <c r="Y8" s="386">
        <v>0</v>
      </c>
      <c r="Z8" s="386">
        <v>0</v>
      </c>
      <c r="AA8" s="386">
        <v>0</v>
      </c>
      <c r="AB8" s="386">
        <v>0</v>
      </c>
      <c r="AC8" s="386">
        <v>0</v>
      </c>
      <c r="AD8" s="386">
        <v>0</v>
      </c>
      <c r="AE8" s="386">
        <v>0</v>
      </c>
      <c r="AF8" s="386">
        <v>0</v>
      </c>
      <c r="AG8" s="386">
        <v>9363976.0999999978</v>
      </c>
    </row>
    <row r="9" spans="1:33">
      <c r="A9" s="386"/>
      <c r="B9" s="386" t="s">
        <v>133</v>
      </c>
      <c r="C9" s="386"/>
      <c r="D9" s="386">
        <v>28959120</v>
      </c>
      <c r="E9" s="386"/>
      <c r="F9" s="386"/>
      <c r="G9" s="386"/>
      <c r="H9" s="386">
        <v>0</v>
      </c>
      <c r="I9" s="386">
        <v>0</v>
      </c>
      <c r="J9" s="386">
        <v>0</v>
      </c>
      <c r="K9" s="386">
        <v>0</v>
      </c>
      <c r="L9" s="386">
        <v>0</v>
      </c>
      <c r="M9" s="386">
        <v>0</v>
      </c>
      <c r="N9" s="386">
        <v>0</v>
      </c>
      <c r="O9" s="386">
        <v>0</v>
      </c>
      <c r="P9" s="386">
        <v>0</v>
      </c>
      <c r="Q9" s="386">
        <v>0</v>
      </c>
      <c r="R9" s="386">
        <v>0</v>
      </c>
      <c r="S9" s="386">
        <v>0</v>
      </c>
      <c r="T9" s="386">
        <v>0</v>
      </c>
      <c r="U9" s="386">
        <v>0</v>
      </c>
      <c r="V9" s="386">
        <v>0</v>
      </c>
      <c r="W9" s="386">
        <v>0</v>
      </c>
      <c r="X9" s="386">
        <v>0</v>
      </c>
      <c r="Y9" s="386">
        <v>0</v>
      </c>
      <c r="Z9" s="386">
        <v>0</v>
      </c>
      <c r="AA9" s="386">
        <v>0</v>
      </c>
      <c r="AB9" s="386">
        <v>0</v>
      </c>
      <c r="AC9" s="386">
        <v>0</v>
      </c>
      <c r="AD9" s="386">
        <v>0</v>
      </c>
      <c r="AE9" s="386">
        <v>0</v>
      </c>
      <c r="AF9" s="386">
        <v>0</v>
      </c>
      <c r="AG9" s="386">
        <v>0</v>
      </c>
    </row>
    <row r="10" spans="1:33">
      <c r="A10" s="386"/>
      <c r="B10" s="386" t="s">
        <v>110</v>
      </c>
      <c r="C10" s="386"/>
      <c r="D10" s="386">
        <v>29326476</v>
      </c>
      <c r="E10" s="386"/>
      <c r="F10" s="386"/>
      <c r="G10" s="386"/>
      <c r="H10" s="386">
        <v>12219365</v>
      </c>
      <c r="I10" s="386">
        <v>0</v>
      </c>
      <c r="J10" s="386">
        <v>0</v>
      </c>
      <c r="K10" s="386">
        <v>7331619</v>
      </c>
      <c r="L10" s="386">
        <v>2443873</v>
      </c>
      <c r="M10" s="386">
        <v>2443873</v>
      </c>
      <c r="N10" s="386">
        <v>0</v>
      </c>
      <c r="O10" s="386">
        <v>0</v>
      </c>
      <c r="P10" s="386">
        <v>0</v>
      </c>
      <c r="Q10" s="386">
        <v>0</v>
      </c>
      <c r="R10" s="386">
        <v>0</v>
      </c>
      <c r="S10" s="386">
        <v>0</v>
      </c>
      <c r="T10" s="386">
        <v>0</v>
      </c>
      <c r="U10" s="386">
        <v>0</v>
      </c>
      <c r="V10" s="386">
        <v>0</v>
      </c>
      <c r="W10" s="386">
        <v>7331619</v>
      </c>
      <c r="X10" s="386">
        <v>2443873</v>
      </c>
      <c r="Y10" s="386">
        <v>2443873</v>
      </c>
      <c r="Z10" s="386">
        <v>0</v>
      </c>
      <c r="AA10" s="386">
        <v>0</v>
      </c>
      <c r="AB10" s="386">
        <v>0</v>
      </c>
      <c r="AC10" s="386">
        <v>0</v>
      </c>
      <c r="AD10" s="386">
        <v>0</v>
      </c>
      <c r="AE10" s="386">
        <v>0</v>
      </c>
      <c r="AF10" s="386">
        <v>0</v>
      </c>
      <c r="AG10" s="386">
        <v>12219365</v>
      </c>
    </row>
    <row r="11" spans="1:33">
      <c r="A11" s="386"/>
      <c r="B11" s="386" t="s">
        <v>112</v>
      </c>
      <c r="C11" s="386"/>
      <c r="D11" s="386">
        <v>31395200</v>
      </c>
      <c r="E11" s="386"/>
      <c r="F11" s="386"/>
      <c r="G11" s="386"/>
      <c r="H11" s="386">
        <v>22069973</v>
      </c>
      <c r="I11" s="386">
        <v>0</v>
      </c>
      <c r="J11" s="386">
        <v>0</v>
      </c>
      <c r="K11" s="386">
        <v>0</v>
      </c>
      <c r="L11" s="386">
        <v>22069973</v>
      </c>
      <c r="M11" s="386">
        <v>0</v>
      </c>
      <c r="N11" s="386">
        <v>0</v>
      </c>
      <c r="O11" s="386">
        <v>0</v>
      </c>
      <c r="P11" s="386">
        <v>0</v>
      </c>
      <c r="Q11" s="386">
        <v>0</v>
      </c>
      <c r="R11" s="386">
        <v>0</v>
      </c>
      <c r="S11" s="386">
        <v>0</v>
      </c>
      <c r="T11" s="386">
        <v>0</v>
      </c>
      <c r="U11" s="386">
        <v>0</v>
      </c>
      <c r="V11" s="386">
        <v>0</v>
      </c>
      <c r="W11" s="386">
        <v>0</v>
      </c>
      <c r="X11" s="386">
        <v>21976640.399999999</v>
      </c>
      <c r="Y11" s="386">
        <v>0</v>
      </c>
      <c r="Z11" s="386">
        <v>0</v>
      </c>
      <c r="AA11" s="386">
        <v>0</v>
      </c>
      <c r="AB11" s="386">
        <v>0</v>
      </c>
      <c r="AC11" s="386">
        <v>0</v>
      </c>
      <c r="AD11" s="386">
        <v>0</v>
      </c>
      <c r="AE11" s="386">
        <v>0</v>
      </c>
      <c r="AF11" s="386">
        <v>0</v>
      </c>
      <c r="AG11" s="386">
        <v>21976640.399999999</v>
      </c>
    </row>
    <row r="12" spans="1:33">
      <c r="A12" s="386"/>
      <c r="B12" s="386" t="s">
        <v>129</v>
      </c>
      <c r="C12" s="386"/>
      <c r="D12" s="386">
        <v>31494214</v>
      </c>
      <c r="E12" s="386"/>
      <c r="F12" s="386"/>
      <c r="G12" s="386"/>
      <c r="H12" s="386">
        <v>22045950</v>
      </c>
      <c r="I12" s="386">
        <v>0</v>
      </c>
      <c r="J12" s="386">
        <v>0</v>
      </c>
      <c r="K12" s="386">
        <v>0</v>
      </c>
      <c r="L12" s="386">
        <v>2408507</v>
      </c>
      <c r="M12" s="386">
        <v>19637443</v>
      </c>
      <c r="N12" s="386">
        <v>0</v>
      </c>
      <c r="O12" s="386">
        <v>0</v>
      </c>
      <c r="P12" s="386">
        <v>0</v>
      </c>
      <c r="Q12" s="386">
        <v>0</v>
      </c>
      <c r="R12" s="386">
        <v>0</v>
      </c>
      <c r="S12" s="386">
        <v>0</v>
      </c>
      <c r="T12" s="386">
        <v>0</v>
      </c>
      <c r="U12" s="386">
        <v>0</v>
      </c>
      <c r="V12" s="386">
        <v>0</v>
      </c>
      <c r="W12" s="386">
        <v>0</v>
      </c>
      <c r="X12" s="386">
        <v>2408507</v>
      </c>
      <c r="Y12" s="386">
        <v>19637443</v>
      </c>
      <c r="Z12" s="386">
        <v>0</v>
      </c>
      <c r="AA12" s="386">
        <v>0</v>
      </c>
      <c r="AB12" s="386">
        <v>0</v>
      </c>
      <c r="AC12" s="386">
        <v>0</v>
      </c>
      <c r="AD12" s="386">
        <v>0</v>
      </c>
      <c r="AE12" s="386">
        <v>0</v>
      </c>
      <c r="AF12" s="386">
        <v>0</v>
      </c>
      <c r="AG12" s="386">
        <v>22045950</v>
      </c>
    </row>
    <row r="13" spans="1:33">
      <c r="A13" s="386"/>
      <c r="B13" s="386" t="s">
        <v>135</v>
      </c>
      <c r="C13" s="386"/>
      <c r="D13" s="386">
        <v>36461952</v>
      </c>
      <c r="E13" s="386"/>
      <c r="F13" s="386"/>
      <c r="G13" s="386"/>
      <c r="H13" s="386">
        <v>0</v>
      </c>
      <c r="I13" s="386">
        <v>0</v>
      </c>
      <c r="J13" s="386">
        <v>0</v>
      </c>
      <c r="K13" s="386">
        <v>0</v>
      </c>
      <c r="L13" s="386">
        <v>0</v>
      </c>
      <c r="M13" s="386">
        <v>0</v>
      </c>
      <c r="N13" s="386">
        <v>0</v>
      </c>
      <c r="O13" s="386">
        <v>0</v>
      </c>
      <c r="P13" s="386">
        <v>0</v>
      </c>
      <c r="Q13" s="386">
        <v>0</v>
      </c>
      <c r="R13" s="386">
        <v>0</v>
      </c>
      <c r="S13" s="386">
        <v>0</v>
      </c>
      <c r="T13" s="386">
        <v>0</v>
      </c>
      <c r="U13" s="386">
        <v>0</v>
      </c>
      <c r="V13" s="386">
        <v>0</v>
      </c>
      <c r="W13" s="386">
        <v>0</v>
      </c>
      <c r="X13" s="386">
        <v>0</v>
      </c>
      <c r="Y13" s="386">
        <v>0</v>
      </c>
      <c r="Z13" s="386">
        <v>0</v>
      </c>
      <c r="AA13" s="386">
        <v>0</v>
      </c>
      <c r="AB13" s="386">
        <v>0</v>
      </c>
      <c r="AC13" s="386">
        <v>0</v>
      </c>
      <c r="AD13" s="386">
        <v>0</v>
      </c>
      <c r="AE13" s="386">
        <v>0</v>
      </c>
      <c r="AF13" s="386">
        <v>0</v>
      </c>
      <c r="AG13" s="386">
        <v>0</v>
      </c>
    </row>
    <row r="14" spans="1:33">
      <c r="A14" s="386"/>
      <c r="B14" s="386" t="s">
        <v>134</v>
      </c>
      <c r="C14" s="386"/>
      <c r="D14" s="386">
        <v>66702867</v>
      </c>
      <c r="E14" s="386"/>
      <c r="F14" s="386"/>
      <c r="G14" s="386"/>
      <c r="H14" s="386">
        <v>0</v>
      </c>
      <c r="I14" s="386">
        <v>0</v>
      </c>
      <c r="J14" s="386">
        <v>0</v>
      </c>
      <c r="K14" s="386">
        <v>0</v>
      </c>
      <c r="L14" s="386">
        <v>0</v>
      </c>
      <c r="M14" s="386">
        <v>0</v>
      </c>
      <c r="N14" s="386">
        <v>0</v>
      </c>
      <c r="O14" s="386">
        <v>0</v>
      </c>
      <c r="P14" s="386">
        <v>0</v>
      </c>
      <c r="Q14" s="386">
        <v>0</v>
      </c>
      <c r="R14" s="386">
        <v>0</v>
      </c>
      <c r="S14" s="386">
        <v>0</v>
      </c>
      <c r="T14" s="386">
        <v>0</v>
      </c>
      <c r="U14" s="386">
        <v>0</v>
      </c>
      <c r="V14" s="386">
        <v>0</v>
      </c>
      <c r="W14" s="386">
        <v>0</v>
      </c>
      <c r="X14" s="386">
        <v>0</v>
      </c>
      <c r="Y14" s="386">
        <v>0</v>
      </c>
      <c r="Z14" s="386">
        <v>0</v>
      </c>
      <c r="AA14" s="386">
        <v>0</v>
      </c>
      <c r="AB14" s="386">
        <v>0</v>
      </c>
      <c r="AC14" s="386">
        <v>0</v>
      </c>
      <c r="AD14" s="386">
        <v>0</v>
      </c>
      <c r="AE14" s="386">
        <v>0</v>
      </c>
      <c r="AF14" s="386">
        <v>0</v>
      </c>
      <c r="AG14" s="386">
        <v>0</v>
      </c>
    </row>
    <row r="15" spans="1:33">
      <c r="A15" s="386">
        <v>0</v>
      </c>
      <c r="B15" s="386" t="s">
        <v>86</v>
      </c>
      <c r="C15" s="386"/>
      <c r="D15" s="386">
        <v>80557000</v>
      </c>
      <c r="E15" s="386"/>
      <c r="F15" s="386"/>
      <c r="G15" s="386"/>
      <c r="H15" s="386">
        <v>56389900</v>
      </c>
      <c r="I15" s="386">
        <v>0</v>
      </c>
      <c r="J15" s="386">
        <v>0</v>
      </c>
      <c r="K15" s="386">
        <v>56389900</v>
      </c>
      <c r="L15" s="386">
        <v>0</v>
      </c>
      <c r="M15" s="386">
        <v>0</v>
      </c>
      <c r="N15" s="386">
        <v>0</v>
      </c>
      <c r="O15" s="386">
        <v>0</v>
      </c>
      <c r="P15" s="386">
        <v>0</v>
      </c>
      <c r="Q15" s="386">
        <v>0</v>
      </c>
      <c r="R15" s="386">
        <v>0</v>
      </c>
      <c r="S15" s="386">
        <v>0</v>
      </c>
      <c r="T15" s="386">
        <v>0</v>
      </c>
      <c r="U15" s="386">
        <v>0</v>
      </c>
      <c r="V15" s="386">
        <v>0</v>
      </c>
      <c r="W15" s="386">
        <v>56389900</v>
      </c>
      <c r="X15" s="386">
        <v>0</v>
      </c>
      <c r="Y15" s="386">
        <v>0</v>
      </c>
      <c r="Z15" s="386">
        <v>0</v>
      </c>
      <c r="AA15" s="386">
        <v>0</v>
      </c>
      <c r="AB15" s="386">
        <v>0</v>
      </c>
      <c r="AC15" s="386">
        <v>0</v>
      </c>
      <c r="AD15" s="386">
        <v>0</v>
      </c>
      <c r="AE15" s="386">
        <v>0</v>
      </c>
      <c r="AF15" s="386">
        <v>0</v>
      </c>
      <c r="AG15" s="386">
        <v>56389900</v>
      </c>
    </row>
    <row r="16" spans="1:33">
      <c r="A16" s="386"/>
      <c r="B16" s="386" t="s">
        <v>102</v>
      </c>
      <c r="C16" s="386"/>
      <c r="D16" s="386">
        <v>83526300</v>
      </c>
      <c r="E16" s="386">
        <v>58468410</v>
      </c>
      <c r="F16" s="386">
        <v>25057890</v>
      </c>
      <c r="G16" s="386"/>
      <c r="H16" s="386">
        <v>58561743</v>
      </c>
      <c r="I16" s="386">
        <v>0</v>
      </c>
      <c r="J16" s="386">
        <v>0</v>
      </c>
      <c r="K16" s="386">
        <v>46141042.30956389</v>
      </c>
      <c r="L16" s="386">
        <v>11354583</v>
      </c>
      <c r="M16" s="386">
        <v>1066117.690436108</v>
      </c>
      <c r="N16" s="386">
        <v>0</v>
      </c>
      <c r="O16" s="386">
        <v>0</v>
      </c>
      <c r="P16" s="386">
        <v>0</v>
      </c>
      <c r="Q16" s="386">
        <v>0</v>
      </c>
      <c r="R16" s="386">
        <v>0</v>
      </c>
      <c r="S16" s="386">
        <v>0</v>
      </c>
      <c r="T16" s="386">
        <v>0</v>
      </c>
      <c r="U16" s="386">
        <v>0</v>
      </c>
      <c r="V16" s="386">
        <v>0</v>
      </c>
      <c r="W16" s="386">
        <v>46141042.30956389</v>
      </c>
      <c r="X16" s="386">
        <v>11261250.4</v>
      </c>
      <c r="Y16" s="386">
        <v>1066117.690436108</v>
      </c>
      <c r="Z16" s="386">
        <v>0</v>
      </c>
      <c r="AA16" s="386">
        <v>0</v>
      </c>
      <c r="AB16" s="386">
        <v>0</v>
      </c>
      <c r="AC16" s="386">
        <v>0</v>
      </c>
      <c r="AD16" s="386">
        <v>0</v>
      </c>
      <c r="AE16" s="386">
        <v>0</v>
      </c>
      <c r="AF16" s="386">
        <v>0</v>
      </c>
      <c r="AG16" s="386">
        <v>58468410.399999999</v>
      </c>
    </row>
    <row r="17" spans="1:33">
      <c r="A17" s="386">
        <v>14</v>
      </c>
      <c r="B17" s="386" t="s">
        <v>95</v>
      </c>
      <c r="C17" s="386"/>
      <c r="D17" s="386">
        <v>93279849</v>
      </c>
      <c r="E17" s="386">
        <v>65295894.299999997</v>
      </c>
      <c r="F17" s="386">
        <v>27983954.699999999</v>
      </c>
      <c r="G17" s="386"/>
      <c r="H17" s="386">
        <v>65295894.299999997</v>
      </c>
      <c r="I17" s="386">
        <v>0</v>
      </c>
      <c r="J17" s="386">
        <v>0</v>
      </c>
      <c r="K17" s="386">
        <v>65295894.299999997</v>
      </c>
      <c r="L17" s="386">
        <v>0</v>
      </c>
      <c r="M17" s="386">
        <v>0</v>
      </c>
      <c r="N17" s="386">
        <v>0</v>
      </c>
      <c r="O17" s="386">
        <v>0</v>
      </c>
      <c r="P17" s="386">
        <v>0</v>
      </c>
      <c r="Q17" s="386">
        <v>0</v>
      </c>
      <c r="R17" s="386">
        <v>0</v>
      </c>
      <c r="S17" s="386">
        <v>0</v>
      </c>
      <c r="T17" s="386">
        <v>0</v>
      </c>
      <c r="U17" s="386">
        <v>0</v>
      </c>
      <c r="V17" s="386">
        <v>0</v>
      </c>
      <c r="W17" s="386">
        <v>65295894.299999997</v>
      </c>
      <c r="X17" s="386">
        <v>0</v>
      </c>
      <c r="Y17" s="386">
        <v>0</v>
      </c>
      <c r="Z17" s="386">
        <v>0</v>
      </c>
      <c r="AA17" s="386">
        <v>0</v>
      </c>
      <c r="AB17" s="386">
        <v>0</v>
      </c>
      <c r="AC17" s="386">
        <v>0</v>
      </c>
      <c r="AD17" s="386">
        <v>0</v>
      </c>
      <c r="AE17" s="386">
        <v>0</v>
      </c>
      <c r="AF17" s="386">
        <v>0</v>
      </c>
      <c r="AG17" s="386">
        <v>65295894.299999997</v>
      </c>
    </row>
    <row r="18" spans="1:33">
      <c r="A18" s="386"/>
      <c r="B18" s="386" t="s">
        <v>107</v>
      </c>
      <c r="C18" s="386"/>
      <c r="D18" s="386">
        <v>102340785</v>
      </c>
      <c r="E18" s="386"/>
      <c r="F18" s="386"/>
      <c r="G18" s="386"/>
      <c r="H18" s="386">
        <v>71701545</v>
      </c>
      <c r="I18" s="386">
        <v>0</v>
      </c>
      <c r="J18" s="386">
        <v>0</v>
      </c>
      <c r="K18" s="386">
        <v>11310485</v>
      </c>
      <c r="L18" s="386">
        <v>60391060</v>
      </c>
      <c r="M18" s="386">
        <v>0</v>
      </c>
      <c r="N18" s="386">
        <v>0</v>
      </c>
      <c r="O18" s="386">
        <v>0</v>
      </c>
      <c r="P18" s="386">
        <v>0</v>
      </c>
      <c r="Q18" s="386">
        <v>0</v>
      </c>
      <c r="R18" s="386">
        <v>0</v>
      </c>
      <c r="S18" s="386">
        <v>0</v>
      </c>
      <c r="T18" s="386">
        <v>0</v>
      </c>
      <c r="U18" s="386">
        <v>0</v>
      </c>
      <c r="V18" s="386">
        <v>0</v>
      </c>
      <c r="W18" s="386">
        <v>11310485</v>
      </c>
      <c r="X18" s="386">
        <v>60328060</v>
      </c>
      <c r="Y18" s="386">
        <v>0</v>
      </c>
      <c r="Z18" s="386">
        <v>0</v>
      </c>
      <c r="AA18" s="386">
        <v>0</v>
      </c>
      <c r="AB18" s="386">
        <v>0</v>
      </c>
      <c r="AC18" s="386">
        <v>0</v>
      </c>
      <c r="AD18" s="386">
        <v>0</v>
      </c>
      <c r="AE18" s="386">
        <v>0</v>
      </c>
      <c r="AF18" s="386">
        <v>0</v>
      </c>
      <c r="AG18" s="386">
        <v>71638545</v>
      </c>
    </row>
    <row r="19" spans="1:33">
      <c r="A19" s="386">
        <v>0</v>
      </c>
      <c r="B19" s="386" t="s">
        <v>98</v>
      </c>
      <c r="C19" s="386"/>
      <c r="D19" s="386">
        <v>112529927</v>
      </c>
      <c r="E19" s="386">
        <v>78770948.899999991</v>
      </c>
      <c r="F19" s="386">
        <v>33758978.100000001</v>
      </c>
      <c r="G19" s="386"/>
      <c r="H19" s="386">
        <v>78770948.900000006</v>
      </c>
      <c r="I19" s="386">
        <v>0</v>
      </c>
      <c r="J19" s="386">
        <v>0</v>
      </c>
      <c r="K19" s="386">
        <v>78770948.900000006</v>
      </c>
      <c r="L19" s="386">
        <v>0</v>
      </c>
      <c r="M19" s="386">
        <v>0</v>
      </c>
      <c r="N19" s="386">
        <v>0</v>
      </c>
      <c r="O19" s="386">
        <v>0</v>
      </c>
      <c r="P19" s="386">
        <v>0</v>
      </c>
      <c r="Q19" s="386">
        <v>0</v>
      </c>
      <c r="R19" s="386">
        <v>0</v>
      </c>
      <c r="S19" s="386">
        <v>0</v>
      </c>
      <c r="T19" s="386">
        <v>0</v>
      </c>
      <c r="U19" s="386">
        <v>0</v>
      </c>
      <c r="V19" s="386">
        <v>0</v>
      </c>
      <c r="W19" s="386">
        <v>78770948.900000006</v>
      </c>
      <c r="X19" s="386">
        <v>0</v>
      </c>
      <c r="Y19" s="386">
        <v>0</v>
      </c>
      <c r="Z19" s="386">
        <v>0</v>
      </c>
      <c r="AA19" s="386">
        <v>0</v>
      </c>
      <c r="AB19" s="386">
        <v>0</v>
      </c>
      <c r="AC19" s="386">
        <v>0</v>
      </c>
      <c r="AD19" s="386">
        <v>0</v>
      </c>
      <c r="AE19" s="386">
        <v>0</v>
      </c>
      <c r="AF19" s="386">
        <v>0</v>
      </c>
      <c r="AG19" s="386">
        <v>78770948.900000006</v>
      </c>
    </row>
    <row r="20" spans="1:33">
      <c r="A20" s="386">
        <v>0</v>
      </c>
      <c r="B20" s="386" t="s">
        <v>92</v>
      </c>
      <c r="C20" s="386"/>
      <c r="D20" s="386">
        <v>124134220</v>
      </c>
      <c r="E20" s="386">
        <v>86893954</v>
      </c>
      <c r="F20" s="386">
        <v>37240266</v>
      </c>
      <c r="G20" s="386"/>
      <c r="H20" s="386">
        <v>82071746.399999991</v>
      </c>
      <c r="I20" s="386">
        <v>0</v>
      </c>
      <c r="J20" s="386">
        <v>0</v>
      </c>
      <c r="K20" s="386">
        <v>82071746.399999991</v>
      </c>
      <c r="L20" s="386">
        <v>0</v>
      </c>
      <c r="M20" s="386">
        <v>0</v>
      </c>
      <c r="N20" s="386">
        <v>0</v>
      </c>
      <c r="O20" s="386">
        <v>0</v>
      </c>
      <c r="P20" s="386">
        <v>0</v>
      </c>
      <c r="Q20" s="386">
        <v>0</v>
      </c>
      <c r="R20" s="386">
        <v>0</v>
      </c>
      <c r="S20" s="386">
        <v>0</v>
      </c>
      <c r="T20" s="386">
        <v>0</v>
      </c>
      <c r="U20" s="386">
        <v>0</v>
      </c>
      <c r="V20" s="386">
        <v>0</v>
      </c>
      <c r="W20" s="386">
        <v>82071746</v>
      </c>
      <c r="X20" s="386">
        <v>0</v>
      </c>
      <c r="Y20" s="386">
        <v>0</v>
      </c>
      <c r="Z20" s="386">
        <v>0</v>
      </c>
      <c r="AA20" s="386">
        <v>0</v>
      </c>
      <c r="AB20" s="386">
        <v>0</v>
      </c>
      <c r="AC20" s="386">
        <v>0</v>
      </c>
      <c r="AD20" s="386">
        <v>0</v>
      </c>
      <c r="AE20" s="386">
        <v>0</v>
      </c>
      <c r="AF20" s="386">
        <v>0</v>
      </c>
      <c r="AG20" s="386">
        <v>82071746</v>
      </c>
    </row>
    <row r="21" spans="1:33">
      <c r="A21" s="386"/>
      <c r="B21" s="386" t="s">
        <v>145</v>
      </c>
      <c r="C21" s="386"/>
      <c r="D21" s="386">
        <v>131629508</v>
      </c>
      <c r="E21" s="386"/>
      <c r="F21" s="386"/>
      <c r="G21" s="386"/>
      <c r="H21" s="386">
        <v>64761045</v>
      </c>
      <c r="I21" s="386">
        <v>0</v>
      </c>
      <c r="J21" s="386">
        <v>0</v>
      </c>
      <c r="K21" s="386">
        <v>64761045</v>
      </c>
      <c r="L21" s="386">
        <v>0</v>
      </c>
      <c r="M21" s="386">
        <v>0</v>
      </c>
      <c r="N21" s="386">
        <v>0</v>
      </c>
      <c r="O21" s="386">
        <v>0</v>
      </c>
      <c r="P21" s="386">
        <v>0</v>
      </c>
      <c r="Q21" s="386">
        <v>0</v>
      </c>
      <c r="R21" s="386">
        <v>0</v>
      </c>
      <c r="S21" s="386">
        <v>0</v>
      </c>
      <c r="T21" s="386">
        <v>0</v>
      </c>
      <c r="U21" s="386">
        <v>0</v>
      </c>
      <c r="V21" s="386">
        <v>0</v>
      </c>
      <c r="W21" s="386">
        <v>64761045</v>
      </c>
      <c r="X21" s="386">
        <v>0</v>
      </c>
      <c r="Y21" s="386">
        <v>0</v>
      </c>
      <c r="Z21" s="386">
        <v>0</v>
      </c>
      <c r="AA21" s="386">
        <v>0</v>
      </c>
      <c r="AB21" s="386">
        <v>0</v>
      </c>
      <c r="AC21" s="386">
        <v>0</v>
      </c>
      <c r="AD21" s="386">
        <v>0</v>
      </c>
      <c r="AE21" s="386">
        <v>0</v>
      </c>
      <c r="AF21" s="386">
        <v>0</v>
      </c>
      <c r="AG21" s="386">
        <v>64761045</v>
      </c>
    </row>
    <row r="22" spans="1:33">
      <c r="A22" s="386">
        <v>0</v>
      </c>
      <c r="B22" s="386" t="s">
        <v>85</v>
      </c>
      <c r="C22" s="386"/>
      <c r="D22" s="386">
        <v>145295732</v>
      </c>
      <c r="E22" s="386"/>
      <c r="F22" s="386"/>
      <c r="G22" s="386"/>
      <c r="H22" s="386">
        <v>85015073</v>
      </c>
      <c r="I22" s="386">
        <v>0</v>
      </c>
      <c r="J22" s="386">
        <v>0</v>
      </c>
      <c r="K22" s="386">
        <v>0</v>
      </c>
      <c r="L22" s="386">
        <v>0</v>
      </c>
      <c r="M22" s="386">
        <v>85015073</v>
      </c>
      <c r="N22" s="386">
        <v>0</v>
      </c>
      <c r="O22" s="386">
        <v>0</v>
      </c>
      <c r="P22" s="386">
        <v>0</v>
      </c>
      <c r="Q22" s="386">
        <v>0</v>
      </c>
      <c r="R22" s="386">
        <v>0</v>
      </c>
      <c r="S22" s="386">
        <v>0</v>
      </c>
      <c r="T22" s="386">
        <v>0</v>
      </c>
      <c r="U22" s="386">
        <v>0</v>
      </c>
      <c r="V22" s="386">
        <v>0</v>
      </c>
      <c r="W22" s="386">
        <v>0</v>
      </c>
      <c r="X22" s="386">
        <v>0</v>
      </c>
      <c r="Y22" s="386">
        <v>101707010</v>
      </c>
      <c r="Z22" s="386">
        <v>0</v>
      </c>
      <c r="AA22" s="386">
        <v>0</v>
      </c>
      <c r="AB22" s="386">
        <v>0</v>
      </c>
      <c r="AC22" s="386">
        <v>0</v>
      </c>
      <c r="AD22" s="386">
        <v>0</v>
      </c>
      <c r="AE22" s="386">
        <v>0</v>
      </c>
      <c r="AF22" s="386">
        <v>0</v>
      </c>
      <c r="AG22" s="386">
        <v>101707010</v>
      </c>
    </row>
    <row r="23" spans="1:33">
      <c r="A23" s="386">
        <v>0</v>
      </c>
      <c r="B23" s="386" t="s">
        <v>84</v>
      </c>
      <c r="C23" s="386"/>
      <c r="D23" s="386">
        <v>154147272</v>
      </c>
      <c r="E23" s="386"/>
      <c r="F23" s="386"/>
      <c r="G23" s="386"/>
      <c r="H23" s="386">
        <v>107903087</v>
      </c>
      <c r="I23" s="386">
        <v>0</v>
      </c>
      <c r="J23" s="386">
        <v>0</v>
      </c>
      <c r="K23" s="386">
        <v>0</v>
      </c>
      <c r="L23" s="386">
        <v>90037123</v>
      </c>
      <c r="M23" s="386">
        <v>17865964</v>
      </c>
      <c r="N23" s="386">
        <v>0</v>
      </c>
      <c r="O23" s="386">
        <v>0</v>
      </c>
      <c r="P23" s="386">
        <v>0</v>
      </c>
      <c r="Q23" s="386">
        <v>0</v>
      </c>
      <c r="R23" s="386">
        <v>0</v>
      </c>
      <c r="S23" s="386">
        <v>0</v>
      </c>
      <c r="T23" s="386">
        <v>0</v>
      </c>
      <c r="U23" s="386">
        <v>0</v>
      </c>
      <c r="V23" s="386">
        <v>0</v>
      </c>
      <c r="W23" s="386">
        <v>0</v>
      </c>
      <c r="X23" s="386">
        <v>90037123</v>
      </c>
      <c r="Y23" s="386">
        <v>17865964</v>
      </c>
      <c r="Z23" s="386">
        <v>0</v>
      </c>
      <c r="AA23" s="386">
        <v>0</v>
      </c>
      <c r="AB23" s="386">
        <v>0</v>
      </c>
      <c r="AC23" s="386">
        <v>0</v>
      </c>
      <c r="AD23" s="386">
        <v>0</v>
      </c>
      <c r="AE23" s="386">
        <v>0</v>
      </c>
      <c r="AF23" s="386">
        <v>0</v>
      </c>
      <c r="AG23" s="386">
        <v>107903087</v>
      </c>
    </row>
    <row r="24" spans="1:33">
      <c r="A24" s="386">
        <v>0</v>
      </c>
      <c r="B24" s="386" t="s">
        <v>109</v>
      </c>
      <c r="C24" s="386"/>
      <c r="D24" s="386">
        <v>155260511</v>
      </c>
      <c r="E24" s="386">
        <v>108682357.69999999</v>
      </c>
      <c r="F24" s="386">
        <v>46578153.299999997</v>
      </c>
      <c r="G24" s="386"/>
      <c r="H24" s="386">
        <v>108433725</v>
      </c>
      <c r="I24" s="386">
        <v>0</v>
      </c>
      <c r="J24" s="386">
        <v>0</v>
      </c>
      <c r="K24" s="386">
        <v>33953823</v>
      </c>
      <c r="L24" s="386">
        <v>58805473</v>
      </c>
      <c r="M24" s="386">
        <v>15674429</v>
      </c>
      <c r="N24" s="386">
        <v>0</v>
      </c>
      <c r="O24" s="386">
        <v>0</v>
      </c>
      <c r="P24" s="386">
        <v>0</v>
      </c>
      <c r="Q24" s="386">
        <v>0</v>
      </c>
      <c r="R24" s="386">
        <v>0</v>
      </c>
      <c r="S24" s="386">
        <v>0</v>
      </c>
      <c r="T24" s="386">
        <v>0</v>
      </c>
      <c r="U24" s="386">
        <v>0</v>
      </c>
      <c r="V24" s="386">
        <v>0</v>
      </c>
      <c r="W24" s="386">
        <v>33953823</v>
      </c>
      <c r="X24" s="386">
        <v>58805473</v>
      </c>
      <c r="Y24" s="386">
        <v>15674429</v>
      </c>
      <c r="Z24" s="386">
        <v>0</v>
      </c>
      <c r="AA24" s="386">
        <v>0</v>
      </c>
      <c r="AB24" s="386">
        <v>0</v>
      </c>
      <c r="AC24" s="386">
        <v>0</v>
      </c>
      <c r="AD24" s="386">
        <v>0</v>
      </c>
      <c r="AE24" s="386">
        <v>0</v>
      </c>
      <c r="AF24" s="386">
        <v>0</v>
      </c>
      <c r="AG24" s="386">
        <v>108433725</v>
      </c>
    </row>
    <row r="25" spans="1:33">
      <c r="A25" s="386">
        <v>0</v>
      </c>
      <c r="B25" s="386" t="s">
        <v>91</v>
      </c>
      <c r="C25" s="386"/>
      <c r="D25" s="386">
        <v>156676002</v>
      </c>
      <c r="E25" s="386"/>
      <c r="F25" s="386"/>
      <c r="G25" s="386"/>
      <c r="H25" s="386">
        <v>109673199</v>
      </c>
      <c r="I25" s="386">
        <v>0</v>
      </c>
      <c r="J25" s="386">
        <v>0</v>
      </c>
      <c r="K25" s="386">
        <v>109673199</v>
      </c>
      <c r="L25" s="386">
        <v>0</v>
      </c>
      <c r="M25" s="386">
        <v>0</v>
      </c>
      <c r="N25" s="386">
        <v>0</v>
      </c>
      <c r="O25" s="386">
        <v>0</v>
      </c>
      <c r="P25" s="386">
        <v>0</v>
      </c>
      <c r="Q25" s="386">
        <v>0</v>
      </c>
      <c r="R25" s="386">
        <v>0</v>
      </c>
      <c r="S25" s="386">
        <v>0</v>
      </c>
      <c r="T25" s="386">
        <v>0</v>
      </c>
      <c r="U25" s="386">
        <v>0</v>
      </c>
      <c r="V25" s="386">
        <v>0</v>
      </c>
      <c r="W25" s="386">
        <v>109673199</v>
      </c>
      <c r="X25" s="386">
        <v>0</v>
      </c>
      <c r="Y25" s="386">
        <v>0</v>
      </c>
      <c r="Z25" s="386">
        <v>0</v>
      </c>
      <c r="AA25" s="386">
        <v>0</v>
      </c>
      <c r="AB25" s="386">
        <v>0</v>
      </c>
      <c r="AC25" s="386">
        <v>0</v>
      </c>
      <c r="AD25" s="386">
        <v>0</v>
      </c>
      <c r="AE25" s="386">
        <v>0</v>
      </c>
      <c r="AF25" s="386">
        <v>0</v>
      </c>
      <c r="AG25" s="386">
        <v>109673199</v>
      </c>
    </row>
    <row r="26" spans="1:33">
      <c r="A26" s="386"/>
      <c r="B26" s="386" t="s">
        <v>103</v>
      </c>
      <c r="C26" s="386"/>
      <c r="D26" s="386">
        <v>159578370</v>
      </c>
      <c r="E26" s="386"/>
      <c r="F26" s="386"/>
      <c r="G26" s="386"/>
      <c r="H26" s="386">
        <v>159578370</v>
      </c>
      <c r="I26" s="386">
        <v>0</v>
      </c>
      <c r="J26" s="386">
        <v>0</v>
      </c>
      <c r="K26" s="386">
        <v>159578370</v>
      </c>
      <c r="L26" s="386">
        <v>0</v>
      </c>
      <c r="M26" s="386">
        <v>0</v>
      </c>
      <c r="N26" s="386">
        <v>0</v>
      </c>
      <c r="O26" s="386">
        <v>0</v>
      </c>
      <c r="P26" s="386">
        <v>0</v>
      </c>
      <c r="Q26" s="386">
        <v>0</v>
      </c>
      <c r="R26" s="386">
        <v>0</v>
      </c>
      <c r="S26" s="386">
        <v>0</v>
      </c>
      <c r="T26" s="386">
        <v>0</v>
      </c>
      <c r="U26" s="386">
        <v>0</v>
      </c>
      <c r="V26" s="386">
        <v>0</v>
      </c>
      <c r="W26" s="386">
        <v>159578370</v>
      </c>
      <c r="X26" s="386">
        <v>0</v>
      </c>
      <c r="Y26" s="386">
        <v>0</v>
      </c>
      <c r="Z26" s="386">
        <v>0</v>
      </c>
      <c r="AA26" s="386">
        <v>0</v>
      </c>
      <c r="AB26" s="386">
        <v>0</v>
      </c>
      <c r="AC26" s="386">
        <v>0</v>
      </c>
      <c r="AD26" s="386">
        <v>0</v>
      </c>
      <c r="AE26" s="386">
        <v>0</v>
      </c>
      <c r="AF26" s="386">
        <v>0</v>
      </c>
      <c r="AG26" s="386">
        <v>159578370</v>
      </c>
    </row>
    <row r="27" spans="1:33">
      <c r="A27" s="386">
        <v>0</v>
      </c>
      <c r="B27" s="386" t="s">
        <v>97</v>
      </c>
      <c r="C27" s="386"/>
      <c r="D27" s="386">
        <v>234800124</v>
      </c>
      <c r="E27" s="386">
        <v>164360086.79999998</v>
      </c>
      <c r="F27" s="386">
        <v>70440037.200000003</v>
      </c>
      <c r="G27" s="386"/>
      <c r="H27" s="386">
        <v>164360086.80000001</v>
      </c>
      <c r="I27" s="386">
        <v>0</v>
      </c>
      <c r="J27" s="386">
        <v>0</v>
      </c>
      <c r="K27" s="386">
        <v>164360086.80000001</v>
      </c>
      <c r="L27" s="386">
        <v>0</v>
      </c>
      <c r="M27" s="386">
        <v>0</v>
      </c>
      <c r="N27" s="386">
        <v>0</v>
      </c>
      <c r="O27" s="386">
        <v>0</v>
      </c>
      <c r="P27" s="386">
        <v>0</v>
      </c>
      <c r="Q27" s="386">
        <v>0</v>
      </c>
      <c r="R27" s="386">
        <v>0</v>
      </c>
      <c r="S27" s="386">
        <v>0</v>
      </c>
      <c r="T27" s="386">
        <v>0</v>
      </c>
      <c r="U27" s="386">
        <v>0</v>
      </c>
      <c r="V27" s="386">
        <v>0</v>
      </c>
      <c r="W27" s="386">
        <v>164360086.80000001</v>
      </c>
      <c r="X27" s="386">
        <v>0</v>
      </c>
      <c r="Y27" s="386">
        <v>0</v>
      </c>
      <c r="Z27" s="386">
        <v>0</v>
      </c>
      <c r="AA27" s="386">
        <v>0</v>
      </c>
      <c r="AB27" s="386">
        <v>0</v>
      </c>
      <c r="AC27" s="386">
        <v>0</v>
      </c>
      <c r="AD27" s="386">
        <v>0</v>
      </c>
      <c r="AE27" s="386">
        <v>0</v>
      </c>
      <c r="AF27" s="386">
        <v>0</v>
      </c>
      <c r="AG27" s="386">
        <v>164360086.80000001</v>
      </c>
    </row>
    <row r="28" spans="1:33">
      <c r="A28" s="386">
        <v>8</v>
      </c>
      <c r="B28" s="386" t="s">
        <v>78</v>
      </c>
      <c r="C28" s="386"/>
      <c r="D28" s="386">
        <v>290874596</v>
      </c>
      <c r="E28" s="386">
        <v>203612217.19999999</v>
      </c>
      <c r="F28" s="386">
        <v>87262378.799999997</v>
      </c>
      <c r="G28" s="386"/>
      <c r="H28" s="386">
        <v>203905476</v>
      </c>
      <c r="I28" s="386">
        <v>0</v>
      </c>
      <c r="J28" s="386">
        <v>0</v>
      </c>
      <c r="K28" s="386">
        <v>0</v>
      </c>
      <c r="L28" s="386">
        <v>0</v>
      </c>
      <c r="M28" s="386">
        <v>203905476</v>
      </c>
      <c r="N28" s="386">
        <v>0</v>
      </c>
      <c r="O28" s="386">
        <v>0</v>
      </c>
      <c r="P28" s="386">
        <v>0</v>
      </c>
      <c r="Q28" s="386">
        <v>0</v>
      </c>
      <c r="R28" s="386">
        <v>0</v>
      </c>
      <c r="S28" s="386">
        <v>0</v>
      </c>
      <c r="T28" s="386">
        <v>0</v>
      </c>
      <c r="U28" s="386">
        <v>0</v>
      </c>
      <c r="V28" s="386">
        <v>0</v>
      </c>
      <c r="W28" s="386">
        <v>0</v>
      </c>
      <c r="X28" s="386">
        <v>0</v>
      </c>
      <c r="Y28" s="386">
        <v>203612217.19999999</v>
      </c>
      <c r="Z28" s="386">
        <v>0</v>
      </c>
      <c r="AA28" s="386">
        <v>0</v>
      </c>
      <c r="AB28" s="386">
        <v>0</v>
      </c>
      <c r="AC28" s="386">
        <v>0</v>
      </c>
      <c r="AD28" s="386">
        <v>0</v>
      </c>
      <c r="AE28" s="386">
        <v>0</v>
      </c>
      <c r="AF28" s="386">
        <v>0</v>
      </c>
      <c r="AG28" s="386">
        <v>203612217.19999999</v>
      </c>
    </row>
    <row r="29" spans="1:33">
      <c r="A29" s="386">
        <v>0</v>
      </c>
      <c r="B29" s="386" t="s">
        <v>87</v>
      </c>
      <c r="C29" s="386"/>
      <c r="D29" s="386">
        <v>335028068</v>
      </c>
      <c r="E29" s="386"/>
      <c r="F29" s="386"/>
      <c r="G29" s="386"/>
      <c r="H29" s="386">
        <v>241781416</v>
      </c>
      <c r="I29" s="386">
        <v>0</v>
      </c>
      <c r="J29" s="386">
        <v>0</v>
      </c>
      <c r="K29" s="386">
        <v>77532497</v>
      </c>
      <c r="L29" s="386">
        <v>156987148</v>
      </c>
      <c r="M29" s="386">
        <v>7261771</v>
      </c>
      <c r="N29" s="386">
        <v>0</v>
      </c>
      <c r="O29" s="386">
        <v>0</v>
      </c>
      <c r="P29" s="386">
        <v>0</v>
      </c>
      <c r="Q29" s="386">
        <v>0</v>
      </c>
      <c r="R29" s="386">
        <v>0</v>
      </c>
      <c r="S29" s="386">
        <v>0</v>
      </c>
      <c r="T29" s="386">
        <v>0</v>
      </c>
      <c r="U29" s="386">
        <v>0</v>
      </c>
      <c r="V29" s="386">
        <v>0</v>
      </c>
      <c r="W29" s="386">
        <v>77532497</v>
      </c>
      <c r="X29" s="386">
        <v>156987148</v>
      </c>
      <c r="Y29" s="386">
        <v>7261771</v>
      </c>
      <c r="Z29" s="386">
        <v>0</v>
      </c>
      <c r="AA29" s="386">
        <v>0</v>
      </c>
      <c r="AB29" s="386">
        <v>0</v>
      </c>
      <c r="AC29" s="386">
        <v>0</v>
      </c>
      <c r="AD29" s="386">
        <v>0</v>
      </c>
      <c r="AE29" s="386">
        <v>0</v>
      </c>
      <c r="AF29" s="386">
        <v>0</v>
      </c>
      <c r="AG29" s="386">
        <v>241781416</v>
      </c>
    </row>
    <row r="30" spans="1:33">
      <c r="A30" s="386">
        <v>13</v>
      </c>
      <c r="B30" s="386" t="s">
        <v>83</v>
      </c>
      <c r="C30" s="386"/>
      <c r="D30" s="386">
        <v>393570042</v>
      </c>
      <c r="E30" s="386">
        <v>275499029.39999998</v>
      </c>
      <c r="F30" s="386">
        <v>118071012.59999999</v>
      </c>
      <c r="G30" s="386"/>
      <c r="H30" s="386">
        <v>275499027.19999993</v>
      </c>
      <c r="I30" s="386">
        <v>0</v>
      </c>
      <c r="J30" s="386">
        <v>0</v>
      </c>
      <c r="K30" s="386">
        <v>232952421.19999996</v>
      </c>
      <c r="L30" s="386">
        <v>42546606</v>
      </c>
      <c r="M30" s="386">
        <v>0</v>
      </c>
      <c r="N30" s="386">
        <v>0</v>
      </c>
      <c r="O30" s="386">
        <v>0</v>
      </c>
      <c r="P30" s="386">
        <v>0</v>
      </c>
      <c r="Q30" s="386">
        <v>0</v>
      </c>
      <c r="R30" s="386">
        <v>0</v>
      </c>
      <c r="S30" s="386">
        <v>0</v>
      </c>
      <c r="T30" s="386">
        <v>0</v>
      </c>
      <c r="U30" s="386">
        <v>0</v>
      </c>
      <c r="V30" s="386">
        <v>0</v>
      </c>
      <c r="W30" s="386">
        <v>232952424</v>
      </c>
      <c r="X30" s="386">
        <v>42546606</v>
      </c>
      <c r="Y30" s="386">
        <v>0</v>
      </c>
      <c r="Z30" s="386">
        <v>0</v>
      </c>
      <c r="AA30" s="386">
        <v>0</v>
      </c>
      <c r="AB30" s="386">
        <v>0</v>
      </c>
      <c r="AC30" s="386">
        <v>0</v>
      </c>
      <c r="AD30" s="386">
        <v>0</v>
      </c>
      <c r="AE30" s="386">
        <v>0</v>
      </c>
      <c r="AF30" s="386">
        <v>0</v>
      </c>
      <c r="AG30" s="386">
        <v>275499030</v>
      </c>
    </row>
    <row r="31" spans="1:33">
      <c r="A31" s="386">
        <v>12</v>
      </c>
      <c r="B31" s="386" t="s">
        <v>82</v>
      </c>
      <c r="C31" s="386"/>
      <c r="D31" s="386">
        <v>477757020</v>
      </c>
      <c r="E31" s="386">
        <v>39813085</v>
      </c>
      <c r="F31" s="386">
        <v>39813085</v>
      </c>
      <c r="G31" s="386">
        <v>39813085</v>
      </c>
      <c r="H31" s="386">
        <v>199065425</v>
      </c>
      <c r="I31" s="386">
        <v>0</v>
      </c>
      <c r="J31" s="386">
        <v>0</v>
      </c>
      <c r="K31" s="386">
        <v>119439280</v>
      </c>
      <c r="L31" s="386">
        <v>39813060</v>
      </c>
      <c r="M31" s="386">
        <v>39813085</v>
      </c>
      <c r="N31" s="386">
        <v>0</v>
      </c>
      <c r="O31" s="386">
        <v>0</v>
      </c>
      <c r="P31" s="386">
        <v>0</v>
      </c>
      <c r="Q31" s="386">
        <v>0</v>
      </c>
      <c r="R31" s="386">
        <v>0</v>
      </c>
      <c r="S31" s="386">
        <v>0</v>
      </c>
      <c r="T31" s="386">
        <v>0</v>
      </c>
      <c r="U31" s="386">
        <v>0</v>
      </c>
      <c r="V31" s="386">
        <v>0</v>
      </c>
      <c r="W31" s="386">
        <v>119439255</v>
      </c>
      <c r="X31" s="386">
        <v>39813060</v>
      </c>
      <c r="Y31" s="386">
        <v>39813085</v>
      </c>
      <c r="Z31" s="386">
        <v>0</v>
      </c>
      <c r="AA31" s="386">
        <v>0</v>
      </c>
      <c r="AB31" s="386">
        <v>0</v>
      </c>
      <c r="AC31" s="386">
        <v>0</v>
      </c>
      <c r="AD31" s="386">
        <v>0</v>
      </c>
      <c r="AE31" s="386">
        <v>0</v>
      </c>
      <c r="AF31" s="386">
        <v>0</v>
      </c>
      <c r="AG31" s="386">
        <v>199065400</v>
      </c>
    </row>
    <row r="32" spans="1:33">
      <c r="A32" s="386">
        <v>5</v>
      </c>
      <c r="B32" s="386" t="s">
        <v>76</v>
      </c>
      <c r="C32" s="386"/>
      <c r="D32" s="386">
        <v>526095103</v>
      </c>
      <c r="E32" s="386"/>
      <c r="F32" s="386"/>
      <c r="G32" s="386"/>
      <c r="H32" s="386">
        <v>368266572</v>
      </c>
      <c r="I32" s="386">
        <v>0</v>
      </c>
      <c r="J32" s="386">
        <v>0</v>
      </c>
      <c r="K32" s="386">
        <v>346922795</v>
      </c>
      <c r="L32" s="386">
        <v>21343777</v>
      </c>
      <c r="M32" s="386">
        <v>0</v>
      </c>
      <c r="N32" s="386">
        <v>0</v>
      </c>
      <c r="O32" s="386">
        <v>0</v>
      </c>
      <c r="P32" s="386">
        <v>0</v>
      </c>
      <c r="Q32" s="386">
        <v>0</v>
      </c>
      <c r="R32" s="386">
        <v>0</v>
      </c>
      <c r="S32" s="386">
        <v>0</v>
      </c>
      <c r="T32" s="386">
        <v>0</v>
      </c>
      <c r="U32" s="386">
        <v>0</v>
      </c>
      <c r="V32" s="386">
        <v>0</v>
      </c>
      <c r="W32" s="386">
        <v>346922795</v>
      </c>
      <c r="X32" s="386">
        <v>21343777</v>
      </c>
      <c r="Y32" s="386">
        <v>0</v>
      </c>
      <c r="Z32" s="386">
        <v>0</v>
      </c>
      <c r="AA32" s="386">
        <v>0</v>
      </c>
      <c r="AB32" s="386">
        <v>0</v>
      </c>
      <c r="AC32" s="386">
        <v>0</v>
      </c>
      <c r="AD32" s="386">
        <v>0</v>
      </c>
      <c r="AE32" s="386">
        <v>0</v>
      </c>
      <c r="AF32" s="386">
        <v>0</v>
      </c>
      <c r="AG32" s="386">
        <v>368266572</v>
      </c>
    </row>
    <row r="33" spans="1:33">
      <c r="A33" s="386"/>
      <c r="B33" s="386" t="s">
        <v>100</v>
      </c>
      <c r="C33" s="386"/>
      <c r="D33" s="386">
        <v>531055602</v>
      </c>
      <c r="E33" s="386">
        <v>371738921.39999998</v>
      </c>
      <c r="F33" s="386">
        <v>159316680.59999999</v>
      </c>
      <c r="G33" s="386"/>
      <c r="H33" s="386">
        <v>371738921.39999998</v>
      </c>
      <c r="I33" s="386">
        <v>0</v>
      </c>
      <c r="J33" s="386">
        <v>0</v>
      </c>
      <c r="K33" s="386">
        <v>371728121.39999998</v>
      </c>
      <c r="L33" s="386">
        <v>10799.999999999069</v>
      </c>
      <c r="M33" s="386">
        <v>0</v>
      </c>
      <c r="N33" s="386">
        <v>0</v>
      </c>
      <c r="O33" s="386">
        <v>0</v>
      </c>
      <c r="P33" s="386">
        <v>0</v>
      </c>
      <c r="Q33" s="386">
        <v>0</v>
      </c>
      <c r="R33" s="386">
        <v>0</v>
      </c>
      <c r="S33" s="386">
        <v>0</v>
      </c>
      <c r="T33" s="386">
        <v>0</v>
      </c>
      <c r="U33" s="386">
        <v>0</v>
      </c>
      <c r="V33" s="386">
        <v>0</v>
      </c>
      <c r="W33" s="386">
        <v>371728121.39999998</v>
      </c>
      <c r="X33" s="386">
        <v>10800</v>
      </c>
      <c r="Y33" s="386">
        <v>0</v>
      </c>
      <c r="Z33" s="386">
        <v>0</v>
      </c>
      <c r="AA33" s="386">
        <v>0</v>
      </c>
      <c r="AB33" s="386">
        <v>0</v>
      </c>
      <c r="AC33" s="386">
        <v>0</v>
      </c>
      <c r="AD33" s="386">
        <v>0</v>
      </c>
      <c r="AE33" s="386">
        <v>0</v>
      </c>
      <c r="AF33" s="386">
        <v>0</v>
      </c>
      <c r="AG33" s="386">
        <v>371738921.39999998</v>
      </c>
    </row>
    <row r="34" spans="1:33">
      <c r="A34" s="386"/>
      <c r="B34" s="386" t="s">
        <v>132</v>
      </c>
      <c r="C34" s="386"/>
      <c r="D34" s="386">
        <v>619553020</v>
      </c>
      <c r="E34" s="386"/>
      <c r="F34" s="386"/>
      <c r="G34" s="386"/>
      <c r="H34" s="386">
        <v>309776496</v>
      </c>
      <c r="I34" s="386">
        <v>0</v>
      </c>
      <c r="J34" s="386">
        <v>0</v>
      </c>
      <c r="K34" s="386">
        <v>0</v>
      </c>
      <c r="L34" s="386">
        <v>0</v>
      </c>
      <c r="M34" s="386">
        <v>309776496</v>
      </c>
      <c r="N34" s="386">
        <v>0</v>
      </c>
      <c r="O34" s="386">
        <v>0</v>
      </c>
      <c r="P34" s="386">
        <v>0</v>
      </c>
      <c r="Q34" s="386">
        <v>0</v>
      </c>
      <c r="R34" s="386">
        <v>0</v>
      </c>
      <c r="S34" s="386">
        <v>0</v>
      </c>
      <c r="T34" s="386">
        <v>0</v>
      </c>
      <c r="U34" s="386">
        <v>0</v>
      </c>
      <c r="V34" s="386">
        <v>0</v>
      </c>
      <c r="W34" s="386">
        <v>0</v>
      </c>
      <c r="X34" s="386">
        <v>0</v>
      </c>
      <c r="Y34" s="386">
        <v>309776496</v>
      </c>
      <c r="Z34" s="386">
        <v>0</v>
      </c>
      <c r="AA34" s="386">
        <v>0</v>
      </c>
      <c r="AB34" s="386">
        <v>0</v>
      </c>
      <c r="AC34" s="386">
        <v>0</v>
      </c>
      <c r="AD34" s="386">
        <v>0</v>
      </c>
      <c r="AE34" s="386">
        <v>0</v>
      </c>
      <c r="AF34" s="386">
        <v>0</v>
      </c>
      <c r="AG34" s="386">
        <v>309776496</v>
      </c>
    </row>
    <row r="35" spans="1:33">
      <c r="A35" s="386">
        <v>7</v>
      </c>
      <c r="B35" s="386" t="s">
        <v>104</v>
      </c>
      <c r="C35" s="386"/>
      <c r="D35" s="386">
        <v>668562534</v>
      </c>
      <c r="E35" s="386"/>
      <c r="F35" s="386"/>
      <c r="G35" s="386"/>
      <c r="H35" s="386">
        <v>467993773.80000001</v>
      </c>
      <c r="I35" s="386">
        <v>0</v>
      </c>
      <c r="J35" s="386">
        <v>0</v>
      </c>
      <c r="K35" s="386">
        <v>243969710.80000001</v>
      </c>
      <c r="L35" s="386">
        <v>104864197</v>
      </c>
      <c r="M35" s="386">
        <v>119159866</v>
      </c>
      <c r="N35" s="386">
        <v>0</v>
      </c>
      <c r="O35" s="386">
        <v>0</v>
      </c>
      <c r="P35" s="386">
        <v>0</v>
      </c>
      <c r="Q35" s="386">
        <v>0</v>
      </c>
      <c r="R35" s="386">
        <v>0</v>
      </c>
      <c r="S35" s="386">
        <v>0</v>
      </c>
      <c r="T35" s="386">
        <v>0</v>
      </c>
      <c r="U35" s="386">
        <v>0</v>
      </c>
      <c r="V35" s="386">
        <v>0</v>
      </c>
      <c r="W35" s="386">
        <v>243969711</v>
      </c>
      <c r="X35" s="386">
        <v>104864197</v>
      </c>
      <c r="Y35" s="386">
        <v>119159866</v>
      </c>
      <c r="Z35" s="386">
        <v>0</v>
      </c>
      <c r="AA35" s="386">
        <v>0</v>
      </c>
      <c r="AB35" s="386">
        <v>0</v>
      </c>
      <c r="AC35" s="386">
        <v>0</v>
      </c>
      <c r="AD35" s="386">
        <v>0</v>
      </c>
      <c r="AE35" s="386">
        <v>0</v>
      </c>
      <c r="AF35" s="386">
        <v>0</v>
      </c>
      <c r="AG35" s="386">
        <v>467993774</v>
      </c>
    </row>
    <row r="36" spans="1:33">
      <c r="A36" s="386">
        <v>0</v>
      </c>
      <c r="B36" s="386" t="s">
        <v>88</v>
      </c>
      <c r="C36" s="386"/>
      <c r="D36" s="386">
        <v>713765916</v>
      </c>
      <c r="E36" s="386"/>
      <c r="F36" s="386"/>
      <c r="G36" s="386"/>
      <c r="H36" s="386">
        <v>304902465</v>
      </c>
      <c r="I36" s="386">
        <v>0</v>
      </c>
      <c r="J36" s="386">
        <v>0</v>
      </c>
      <c r="K36" s="386">
        <v>182941479</v>
      </c>
      <c r="L36" s="386">
        <v>60980493</v>
      </c>
      <c r="M36" s="386">
        <v>60980493</v>
      </c>
      <c r="N36" s="386">
        <v>0</v>
      </c>
      <c r="O36" s="386">
        <v>0</v>
      </c>
      <c r="P36" s="386">
        <v>0</v>
      </c>
      <c r="Q36" s="386">
        <v>0</v>
      </c>
      <c r="R36" s="386">
        <v>0</v>
      </c>
      <c r="S36" s="386">
        <v>0</v>
      </c>
      <c r="T36" s="386">
        <v>0</v>
      </c>
      <c r="U36" s="386">
        <v>0</v>
      </c>
      <c r="V36" s="386">
        <v>0</v>
      </c>
      <c r="W36" s="386">
        <v>178441479</v>
      </c>
      <c r="X36" s="386">
        <v>60980493</v>
      </c>
      <c r="Y36" s="386">
        <v>60980493</v>
      </c>
      <c r="Z36" s="386">
        <v>0</v>
      </c>
      <c r="AA36" s="386">
        <v>0</v>
      </c>
      <c r="AB36" s="386">
        <v>0</v>
      </c>
      <c r="AC36" s="386">
        <v>0</v>
      </c>
      <c r="AD36" s="386">
        <v>0</v>
      </c>
      <c r="AE36" s="386">
        <v>0</v>
      </c>
      <c r="AF36" s="386">
        <v>0</v>
      </c>
      <c r="AG36" s="386">
        <v>300402465</v>
      </c>
    </row>
    <row r="37" spans="1:33">
      <c r="A37" s="386">
        <v>9</v>
      </c>
      <c r="B37" s="386" t="s">
        <v>79</v>
      </c>
      <c r="C37" s="386"/>
      <c r="D37" s="386">
        <v>947370962</v>
      </c>
      <c r="E37" s="386">
        <v>663159673.39999998</v>
      </c>
      <c r="F37" s="386">
        <v>284211288.59999996</v>
      </c>
      <c r="G37" s="386"/>
      <c r="H37" s="386" t="e">
        <v>#REF!</v>
      </c>
      <c r="I37" s="386">
        <v>0</v>
      </c>
      <c r="J37" s="386">
        <v>0</v>
      </c>
      <c r="K37" s="386">
        <v>443524335.19999999</v>
      </c>
      <c r="L37" s="386">
        <v>113812681</v>
      </c>
      <c r="M37" s="386" t="e">
        <v>#REF!</v>
      </c>
      <c r="N37" s="386">
        <v>0</v>
      </c>
      <c r="O37" s="386">
        <v>0</v>
      </c>
      <c r="P37" s="386">
        <v>0</v>
      </c>
      <c r="Q37" s="386">
        <v>0</v>
      </c>
      <c r="R37" s="386">
        <v>0</v>
      </c>
      <c r="S37" s="386">
        <v>0</v>
      </c>
      <c r="T37" s="386">
        <v>0</v>
      </c>
      <c r="U37" s="386">
        <v>0</v>
      </c>
      <c r="V37" s="386">
        <v>0</v>
      </c>
      <c r="W37" s="386">
        <v>443524336</v>
      </c>
      <c r="X37" s="386">
        <v>113812681</v>
      </c>
      <c r="Y37" s="386">
        <v>105822658</v>
      </c>
      <c r="Z37" s="386">
        <v>0</v>
      </c>
      <c r="AA37" s="386">
        <v>0</v>
      </c>
      <c r="AB37" s="386">
        <v>0</v>
      </c>
      <c r="AC37" s="386">
        <v>0</v>
      </c>
      <c r="AD37" s="386">
        <v>0</v>
      </c>
      <c r="AE37" s="386">
        <v>0</v>
      </c>
      <c r="AF37" s="386">
        <v>0</v>
      </c>
      <c r="AG37" s="386">
        <v>663159675</v>
      </c>
    </row>
    <row r="38" spans="1:33">
      <c r="A38" s="386">
        <v>15</v>
      </c>
      <c r="B38" s="386" t="s">
        <v>96</v>
      </c>
      <c r="C38" s="386"/>
      <c r="D38" s="386">
        <v>985027875</v>
      </c>
      <c r="E38" s="386">
        <v>689519512.5</v>
      </c>
      <c r="F38" s="386">
        <v>295508362.5</v>
      </c>
      <c r="G38" s="386"/>
      <c r="H38" s="386">
        <v>689519512.5</v>
      </c>
      <c r="I38" s="386">
        <v>0</v>
      </c>
      <c r="J38" s="386">
        <v>0</v>
      </c>
      <c r="K38" s="386">
        <v>689519512.5</v>
      </c>
      <c r="L38" s="386">
        <v>0</v>
      </c>
      <c r="M38" s="386">
        <v>0</v>
      </c>
      <c r="N38" s="386">
        <v>0</v>
      </c>
      <c r="O38" s="386">
        <v>0</v>
      </c>
      <c r="P38" s="386">
        <v>0</v>
      </c>
      <c r="Q38" s="386">
        <v>0</v>
      </c>
      <c r="R38" s="386">
        <v>0</v>
      </c>
      <c r="S38" s="386">
        <v>0</v>
      </c>
      <c r="T38" s="386">
        <v>0</v>
      </c>
      <c r="U38" s="386">
        <v>0</v>
      </c>
      <c r="V38" s="386">
        <v>0</v>
      </c>
      <c r="W38" s="386">
        <v>689519512.5</v>
      </c>
      <c r="X38" s="386">
        <v>0</v>
      </c>
      <c r="Y38" s="386">
        <v>0</v>
      </c>
      <c r="Z38" s="386">
        <v>0</v>
      </c>
      <c r="AA38" s="386">
        <v>0</v>
      </c>
      <c r="AB38" s="386">
        <v>0</v>
      </c>
      <c r="AC38" s="386">
        <v>0</v>
      </c>
      <c r="AD38" s="386">
        <v>0</v>
      </c>
      <c r="AE38" s="386">
        <v>0</v>
      </c>
      <c r="AF38" s="386">
        <v>0</v>
      </c>
      <c r="AG38" s="386">
        <v>689519512.5</v>
      </c>
    </row>
    <row r="39" spans="1:33">
      <c r="A39" s="386">
        <v>2</v>
      </c>
      <c r="B39" s="386" t="s">
        <v>74</v>
      </c>
      <c r="C39" s="386"/>
      <c r="D39" s="386">
        <v>1067878450</v>
      </c>
      <c r="E39" s="386"/>
      <c r="F39" s="386"/>
      <c r="G39" s="386"/>
      <c r="H39" s="386">
        <v>444949354</v>
      </c>
      <c r="I39" s="386">
        <v>0</v>
      </c>
      <c r="J39" s="386">
        <v>0</v>
      </c>
      <c r="K39" s="386">
        <v>21817029</v>
      </c>
      <c r="L39" s="386">
        <v>152893581</v>
      </c>
      <c r="M39" s="386">
        <v>270238744</v>
      </c>
      <c r="N39" s="386">
        <v>0</v>
      </c>
      <c r="O39" s="386">
        <v>0</v>
      </c>
      <c r="P39" s="386">
        <v>0</v>
      </c>
      <c r="Q39" s="386">
        <v>0</v>
      </c>
      <c r="R39" s="386">
        <v>0</v>
      </c>
      <c r="S39" s="386">
        <v>0</v>
      </c>
      <c r="T39" s="386">
        <v>0</v>
      </c>
      <c r="U39" s="386">
        <v>0</v>
      </c>
      <c r="V39" s="386">
        <v>0</v>
      </c>
      <c r="W39" s="386">
        <v>21817029</v>
      </c>
      <c r="X39" s="386">
        <v>152893581</v>
      </c>
      <c r="Y39" s="386">
        <v>270238744</v>
      </c>
      <c r="Z39" s="386">
        <v>0</v>
      </c>
      <c r="AA39" s="386">
        <v>0</v>
      </c>
      <c r="AB39" s="386">
        <v>0</v>
      </c>
      <c r="AC39" s="386">
        <v>0</v>
      </c>
      <c r="AD39" s="386">
        <v>0</v>
      </c>
      <c r="AE39" s="386">
        <v>0</v>
      </c>
      <c r="AF39" s="386">
        <v>0</v>
      </c>
      <c r="AG39" s="386">
        <v>444949354</v>
      </c>
    </row>
    <row r="40" spans="1:33">
      <c r="A40" s="386">
        <v>11</v>
      </c>
      <c r="B40" s="386" t="s">
        <v>81</v>
      </c>
      <c r="C40" s="386"/>
      <c r="D40" s="386">
        <v>1133652300</v>
      </c>
      <c r="E40" s="386">
        <v>793556610</v>
      </c>
      <c r="F40" s="386">
        <v>340095690</v>
      </c>
      <c r="G40" s="386"/>
      <c r="H40" s="386" t="e">
        <v>#REF!</v>
      </c>
      <c r="I40" s="386">
        <v>0</v>
      </c>
      <c r="J40" s="386">
        <v>0</v>
      </c>
      <c r="K40" s="386">
        <v>513320614</v>
      </c>
      <c r="L40" s="386">
        <v>107997757</v>
      </c>
      <c r="M40" s="386" t="e">
        <v>#REF!</v>
      </c>
      <c r="N40" s="386">
        <v>0</v>
      </c>
      <c r="O40" s="386">
        <v>0</v>
      </c>
      <c r="P40" s="386">
        <v>0</v>
      </c>
      <c r="Q40" s="386">
        <v>0</v>
      </c>
      <c r="R40" s="386">
        <v>0</v>
      </c>
      <c r="S40" s="386">
        <v>0</v>
      </c>
      <c r="T40" s="386">
        <v>0</v>
      </c>
      <c r="U40" s="386">
        <v>0</v>
      </c>
      <c r="V40" s="386">
        <v>0</v>
      </c>
      <c r="W40" s="386">
        <v>513320614</v>
      </c>
      <c r="X40" s="386">
        <v>107997757</v>
      </c>
      <c r="Y40" s="386">
        <v>172238025</v>
      </c>
      <c r="Z40" s="386">
        <v>0</v>
      </c>
      <c r="AA40" s="386">
        <v>0</v>
      </c>
      <c r="AB40" s="386">
        <v>0</v>
      </c>
      <c r="AC40" s="386">
        <v>0</v>
      </c>
      <c r="AD40" s="386">
        <v>0</v>
      </c>
      <c r="AE40" s="386">
        <v>0</v>
      </c>
      <c r="AF40" s="386">
        <v>0</v>
      </c>
      <c r="AG40" s="386">
        <v>793556396</v>
      </c>
    </row>
    <row r="41" spans="1:33">
      <c r="A41" s="386">
        <v>4</v>
      </c>
      <c r="B41" s="386" t="s">
        <v>101</v>
      </c>
      <c r="C41" s="386"/>
      <c r="D41" s="386">
        <v>1439070647</v>
      </c>
      <c r="E41" s="386">
        <v>1007349452.9</v>
      </c>
      <c r="F41" s="386">
        <v>431721194.09999996</v>
      </c>
      <c r="G41" s="386"/>
      <c r="H41" s="386">
        <v>1007442786</v>
      </c>
      <c r="I41" s="386">
        <v>0</v>
      </c>
      <c r="J41" s="386">
        <v>0</v>
      </c>
      <c r="K41" s="386">
        <v>764021553.19043601</v>
      </c>
      <c r="L41" s="386">
        <v>237706612.30000001</v>
      </c>
      <c r="M41" s="386">
        <v>5714620.5095638959</v>
      </c>
      <c r="N41" s="386">
        <v>0</v>
      </c>
      <c r="O41" s="386">
        <v>0</v>
      </c>
      <c r="P41" s="386">
        <v>0</v>
      </c>
      <c r="Q41" s="386">
        <v>0</v>
      </c>
      <c r="R41" s="386">
        <v>0</v>
      </c>
      <c r="S41" s="386">
        <v>0</v>
      </c>
      <c r="T41" s="386">
        <v>0</v>
      </c>
      <c r="U41" s="386">
        <v>0</v>
      </c>
      <c r="V41" s="386">
        <v>0</v>
      </c>
      <c r="W41" s="386">
        <v>764021553.19043601</v>
      </c>
      <c r="X41" s="386">
        <v>237613279.70000002</v>
      </c>
      <c r="Y41" s="386">
        <v>5714620.5095638959</v>
      </c>
      <c r="Z41" s="386">
        <v>0</v>
      </c>
      <c r="AA41" s="386">
        <v>0</v>
      </c>
      <c r="AB41" s="386">
        <v>0</v>
      </c>
      <c r="AC41" s="386">
        <v>0</v>
      </c>
      <c r="AD41" s="386">
        <v>0</v>
      </c>
      <c r="AE41" s="386">
        <v>0</v>
      </c>
      <c r="AF41" s="386">
        <v>0</v>
      </c>
      <c r="AG41" s="386">
        <v>1007349453.4</v>
      </c>
    </row>
    <row r="42" spans="1:33">
      <c r="A42" s="386">
        <v>0</v>
      </c>
      <c r="B42" s="386" t="s">
        <v>89</v>
      </c>
      <c r="C42" s="386"/>
      <c r="D42" s="386">
        <v>1662611172</v>
      </c>
      <c r="E42" s="386"/>
      <c r="F42" s="386"/>
      <c r="G42" s="386"/>
      <c r="H42" s="386">
        <v>692754655</v>
      </c>
      <c r="I42" s="386">
        <v>0</v>
      </c>
      <c r="J42" s="386">
        <v>0</v>
      </c>
      <c r="K42" s="386">
        <v>415652793</v>
      </c>
      <c r="L42" s="386">
        <v>138550931</v>
      </c>
      <c r="M42" s="386">
        <v>138550931</v>
      </c>
      <c r="N42" s="386">
        <v>0</v>
      </c>
      <c r="O42" s="386">
        <v>0</v>
      </c>
      <c r="P42" s="386">
        <v>0</v>
      </c>
      <c r="Q42" s="386">
        <v>0</v>
      </c>
      <c r="R42" s="386">
        <v>0</v>
      </c>
      <c r="S42" s="386">
        <v>0</v>
      </c>
      <c r="T42" s="386">
        <v>0</v>
      </c>
      <c r="U42" s="386">
        <v>0</v>
      </c>
      <c r="V42" s="386">
        <v>0</v>
      </c>
      <c r="W42" s="386">
        <v>415652793</v>
      </c>
      <c r="X42" s="386">
        <v>138550931</v>
      </c>
      <c r="Y42" s="386">
        <v>138550931</v>
      </c>
      <c r="Z42" s="386">
        <v>0</v>
      </c>
      <c r="AA42" s="386">
        <v>0</v>
      </c>
      <c r="AB42" s="386">
        <v>0</v>
      </c>
      <c r="AC42" s="386">
        <v>0</v>
      </c>
      <c r="AD42" s="386">
        <v>0</v>
      </c>
      <c r="AE42" s="386">
        <v>0</v>
      </c>
      <c r="AF42" s="386">
        <v>0</v>
      </c>
      <c r="AG42" s="386">
        <v>692754655</v>
      </c>
    </row>
    <row r="43" spans="1:33">
      <c r="A43" s="386"/>
      <c r="B43" s="386" t="s">
        <v>108</v>
      </c>
      <c r="C43" s="386"/>
      <c r="D43" s="386">
        <v>1907008342</v>
      </c>
      <c r="E43" s="386">
        <v>1334905839.3999999</v>
      </c>
      <c r="F43" s="386">
        <v>572102502.60000002</v>
      </c>
      <c r="G43" s="386"/>
      <c r="H43" s="386">
        <v>1807627421</v>
      </c>
      <c r="I43" s="386">
        <v>0</v>
      </c>
      <c r="J43" s="386">
        <v>0</v>
      </c>
      <c r="K43" s="386">
        <v>176400318</v>
      </c>
      <c r="L43" s="386">
        <v>841085033</v>
      </c>
      <c r="M43" s="386">
        <v>790142070</v>
      </c>
      <c r="N43" s="386">
        <v>0</v>
      </c>
      <c r="O43" s="386">
        <v>0</v>
      </c>
      <c r="P43" s="386">
        <v>0</v>
      </c>
      <c r="Q43" s="386">
        <v>0</v>
      </c>
      <c r="R43" s="386">
        <v>0</v>
      </c>
      <c r="S43" s="386">
        <v>0</v>
      </c>
      <c r="T43" s="386">
        <v>0</v>
      </c>
      <c r="U43" s="386">
        <v>0</v>
      </c>
      <c r="V43" s="386">
        <v>0</v>
      </c>
      <c r="W43" s="386">
        <v>176400318</v>
      </c>
      <c r="X43" s="386">
        <v>841085033</v>
      </c>
      <c r="Y43" s="386">
        <v>790142070</v>
      </c>
      <c r="Z43" s="386">
        <v>0</v>
      </c>
      <c r="AA43" s="386">
        <v>0</v>
      </c>
      <c r="AB43" s="386">
        <v>0</v>
      </c>
      <c r="AC43" s="386">
        <v>0</v>
      </c>
      <c r="AD43" s="386">
        <v>0</v>
      </c>
      <c r="AE43" s="386">
        <v>0</v>
      </c>
      <c r="AF43" s="386">
        <v>0</v>
      </c>
      <c r="AG43" s="386">
        <v>1807627421</v>
      </c>
    </row>
    <row r="44" spans="1:33">
      <c r="A44" s="386">
        <v>0</v>
      </c>
      <c r="B44" s="386" t="s">
        <v>90</v>
      </c>
      <c r="C44" s="386"/>
      <c r="D44" s="386">
        <v>2119085859</v>
      </c>
      <c r="E44" s="386"/>
      <c r="F44" s="386"/>
      <c r="G44" s="386"/>
      <c r="H44" s="386">
        <v>1480585806</v>
      </c>
      <c r="I44" s="386">
        <v>0</v>
      </c>
      <c r="J44" s="386">
        <v>0</v>
      </c>
      <c r="K44" s="386">
        <v>421849967</v>
      </c>
      <c r="L44" s="386">
        <v>967491295</v>
      </c>
      <c r="M44" s="386">
        <v>91244544</v>
      </c>
      <c r="N44" s="386">
        <v>0</v>
      </c>
      <c r="O44" s="386">
        <v>0</v>
      </c>
      <c r="P44" s="386">
        <v>0</v>
      </c>
      <c r="Q44" s="386">
        <v>0</v>
      </c>
      <c r="R44" s="386">
        <v>0</v>
      </c>
      <c r="S44" s="386">
        <v>0</v>
      </c>
      <c r="T44" s="386">
        <v>0</v>
      </c>
      <c r="U44" s="386">
        <v>0</v>
      </c>
      <c r="V44" s="386">
        <v>0</v>
      </c>
      <c r="W44" s="386">
        <v>421849967</v>
      </c>
      <c r="X44" s="386">
        <v>967491295</v>
      </c>
      <c r="Y44" s="386">
        <v>91244544</v>
      </c>
      <c r="Z44" s="386">
        <v>0</v>
      </c>
      <c r="AA44" s="386">
        <v>0</v>
      </c>
      <c r="AB44" s="386">
        <v>0</v>
      </c>
      <c r="AC44" s="386">
        <v>0</v>
      </c>
      <c r="AD44" s="386">
        <v>0</v>
      </c>
      <c r="AE44" s="386">
        <v>0</v>
      </c>
      <c r="AF44" s="386">
        <v>0</v>
      </c>
      <c r="AG44" s="386">
        <v>1480585806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4:C91"/>
  <sheetViews>
    <sheetView topLeftCell="A38" workbookViewId="0">
      <selection activeCell="B91" sqref="B91"/>
    </sheetView>
  </sheetViews>
  <sheetFormatPr baseColWidth="10" defaultRowHeight="15"/>
  <cols>
    <col min="1" max="1" width="58.7109375" bestFit="1" customWidth="1"/>
    <col min="2" max="2" width="28.42578125" style="386" bestFit="1" customWidth="1"/>
    <col min="3" max="3" width="32.5703125" style="386" bestFit="1" customWidth="1"/>
    <col min="4" max="4" width="8" bestFit="1" customWidth="1"/>
    <col min="5" max="5" width="10" bestFit="1" customWidth="1"/>
    <col min="6" max="11" width="9" bestFit="1" customWidth="1"/>
    <col min="12" max="12" width="11" bestFit="1" customWidth="1"/>
    <col min="13" max="13" width="9" bestFit="1" customWidth="1"/>
    <col min="14" max="15" width="11" bestFit="1" customWidth="1"/>
    <col min="16" max="16" width="9" bestFit="1" customWidth="1"/>
    <col min="17" max="20" width="10" bestFit="1" customWidth="1"/>
    <col min="21" max="21" width="12" bestFit="1" customWidth="1"/>
    <col min="22" max="24" width="10" bestFit="1" customWidth="1"/>
    <col min="25" max="25" width="12" bestFit="1" customWidth="1"/>
    <col min="26" max="28" width="10" bestFit="1" customWidth="1"/>
    <col min="29" max="29" width="12" bestFit="1" customWidth="1"/>
    <col min="30" max="30" width="10" bestFit="1" customWidth="1"/>
    <col min="31" max="32" width="12" bestFit="1" customWidth="1"/>
    <col min="33" max="33" width="10" bestFit="1" customWidth="1"/>
    <col min="34" max="36" width="11" bestFit="1" customWidth="1"/>
    <col min="37" max="37" width="6.5703125" bestFit="1" customWidth="1"/>
    <col min="38" max="38" width="12.5703125" bestFit="1" customWidth="1"/>
  </cols>
  <sheetData>
    <row r="4" spans="1:3">
      <c r="A4" s="382" t="s">
        <v>150</v>
      </c>
      <c r="B4" t="s">
        <v>151</v>
      </c>
      <c r="C4" t="s">
        <v>154</v>
      </c>
    </row>
    <row r="5" spans="1:3">
      <c r="A5" s="383" t="s">
        <v>80</v>
      </c>
      <c r="B5" s="391">
        <v>0</v>
      </c>
      <c r="C5" s="385">
        <v>0</v>
      </c>
    </row>
    <row r="6" spans="1:3">
      <c r="A6" s="384">
        <v>0</v>
      </c>
      <c r="B6" s="391">
        <v>0</v>
      </c>
      <c r="C6" s="385">
        <v>0</v>
      </c>
    </row>
    <row r="7" spans="1:3">
      <c r="A7" s="383" t="s">
        <v>87</v>
      </c>
      <c r="B7" s="391">
        <v>241781416</v>
      </c>
      <c r="C7" s="385">
        <v>241781416</v>
      </c>
    </row>
    <row r="8" spans="1:3">
      <c r="A8" s="384">
        <v>335028068</v>
      </c>
      <c r="B8" s="391">
        <v>241781416</v>
      </c>
      <c r="C8" s="385">
        <v>241781416</v>
      </c>
    </row>
    <row r="9" spans="1:3">
      <c r="A9" s="383" t="s">
        <v>145</v>
      </c>
      <c r="B9" s="391">
        <v>64761045</v>
      </c>
      <c r="C9" s="385">
        <v>64761045</v>
      </c>
    </row>
    <row r="10" spans="1:3">
      <c r="A10" s="384">
        <v>131629508</v>
      </c>
      <c r="B10" s="391">
        <v>64761045</v>
      </c>
      <c r="C10" s="385">
        <v>64761045</v>
      </c>
    </row>
    <row r="11" spans="1:3">
      <c r="A11" s="383" t="s">
        <v>77</v>
      </c>
      <c r="B11" s="391">
        <v>0</v>
      </c>
      <c r="C11" s="385">
        <v>0</v>
      </c>
    </row>
    <row r="12" spans="1:3">
      <c r="A12" s="384">
        <v>0</v>
      </c>
      <c r="B12" s="391">
        <v>0</v>
      </c>
      <c r="C12" s="385">
        <v>0</v>
      </c>
    </row>
    <row r="13" spans="1:3">
      <c r="A13" s="383" t="s">
        <v>112</v>
      </c>
      <c r="B13" s="391">
        <v>22069973</v>
      </c>
      <c r="C13" s="385">
        <v>21976640.399999999</v>
      </c>
    </row>
    <row r="14" spans="1:3">
      <c r="A14" s="384">
        <v>31395200</v>
      </c>
      <c r="B14" s="391">
        <v>22069973</v>
      </c>
      <c r="C14" s="385">
        <v>21976640.399999999</v>
      </c>
    </row>
    <row r="15" spans="1:3">
      <c r="A15" s="383" t="s">
        <v>97</v>
      </c>
      <c r="B15" s="391">
        <v>164360086.80000001</v>
      </c>
      <c r="C15" s="385">
        <v>164360086.80000001</v>
      </c>
    </row>
    <row r="16" spans="1:3">
      <c r="A16" s="384">
        <v>234800124</v>
      </c>
      <c r="B16" s="391">
        <v>164360086.80000001</v>
      </c>
      <c r="C16" s="385">
        <v>164360086.80000001</v>
      </c>
    </row>
    <row r="17" spans="1:3">
      <c r="A17" s="383" t="s">
        <v>98</v>
      </c>
      <c r="B17" s="391">
        <v>78770948.900000006</v>
      </c>
      <c r="C17" s="385">
        <v>78770948.900000006</v>
      </c>
    </row>
    <row r="18" spans="1:3">
      <c r="A18" s="384">
        <v>112529927</v>
      </c>
      <c r="B18" s="391">
        <v>78770948.900000006</v>
      </c>
      <c r="C18" s="385">
        <v>78770948.900000006</v>
      </c>
    </row>
    <row r="19" spans="1:3">
      <c r="A19" s="383" t="s">
        <v>100</v>
      </c>
      <c r="B19" s="391">
        <v>371738921.39999998</v>
      </c>
      <c r="C19" s="385">
        <v>371738921.39999998</v>
      </c>
    </row>
    <row r="20" spans="1:3">
      <c r="A20" s="384">
        <v>531055602</v>
      </c>
      <c r="B20" s="391">
        <v>371738921.39999998</v>
      </c>
      <c r="C20" s="385">
        <v>371738921.39999998</v>
      </c>
    </row>
    <row r="21" spans="1:3">
      <c r="A21" s="383" t="s">
        <v>74</v>
      </c>
      <c r="B21" s="391">
        <v>444949354</v>
      </c>
      <c r="C21" s="385">
        <v>444949354</v>
      </c>
    </row>
    <row r="22" spans="1:3">
      <c r="A22" s="384">
        <v>1067878450</v>
      </c>
      <c r="B22" s="391">
        <v>444949354</v>
      </c>
      <c r="C22" s="385">
        <v>444949354</v>
      </c>
    </row>
    <row r="23" spans="1:3">
      <c r="A23" s="383" t="s">
        <v>132</v>
      </c>
      <c r="B23" s="391">
        <v>309776496</v>
      </c>
      <c r="C23" s="385">
        <v>309776496</v>
      </c>
    </row>
    <row r="24" spans="1:3">
      <c r="A24" s="384">
        <v>619553020</v>
      </c>
      <c r="B24" s="391">
        <v>309776496</v>
      </c>
      <c r="C24" s="385">
        <v>309776496</v>
      </c>
    </row>
    <row r="25" spans="1:3">
      <c r="A25" s="383" t="s">
        <v>86</v>
      </c>
      <c r="B25" s="391">
        <v>56389900</v>
      </c>
      <c r="C25" s="385">
        <v>56389900</v>
      </c>
    </row>
    <row r="26" spans="1:3">
      <c r="A26" s="384">
        <v>80557000</v>
      </c>
      <c r="B26" s="391">
        <v>56389900</v>
      </c>
      <c r="C26" s="385">
        <v>56389900</v>
      </c>
    </row>
    <row r="27" spans="1:3">
      <c r="A27" s="383" t="s">
        <v>107</v>
      </c>
      <c r="B27" s="391">
        <v>71701545</v>
      </c>
      <c r="C27" s="385">
        <v>71638545</v>
      </c>
    </row>
    <row r="28" spans="1:3">
      <c r="A28" s="384">
        <v>102340785</v>
      </c>
      <c r="B28" s="391">
        <v>71701545</v>
      </c>
      <c r="C28" s="385">
        <v>71638545</v>
      </c>
    </row>
    <row r="29" spans="1:3">
      <c r="A29" s="383" t="s">
        <v>83</v>
      </c>
      <c r="B29" s="391">
        <v>275499027.19999993</v>
      </c>
      <c r="C29" s="385">
        <v>275499030</v>
      </c>
    </row>
    <row r="30" spans="1:3">
      <c r="A30" s="384">
        <v>393570042</v>
      </c>
      <c r="B30" s="391">
        <v>275499027.19999993</v>
      </c>
      <c r="C30" s="385">
        <v>275499030</v>
      </c>
    </row>
    <row r="31" spans="1:3">
      <c r="A31" s="383" t="s">
        <v>84</v>
      </c>
      <c r="B31" s="391">
        <v>107903087</v>
      </c>
      <c r="C31" s="385">
        <v>107903087</v>
      </c>
    </row>
    <row r="32" spans="1:3">
      <c r="A32" s="384">
        <v>154147272</v>
      </c>
      <c r="B32" s="391">
        <v>107903087</v>
      </c>
      <c r="C32" s="385">
        <v>107903087</v>
      </c>
    </row>
    <row r="33" spans="1:3">
      <c r="A33" s="383" t="s">
        <v>101</v>
      </c>
      <c r="B33" s="391">
        <v>1007442786</v>
      </c>
      <c r="C33" s="385">
        <v>1007349453.4</v>
      </c>
    </row>
    <row r="34" spans="1:3">
      <c r="A34" s="384">
        <v>1439070647</v>
      </c>
      <c r="B34" s="391">
        <v>1007442786</v>
      </c>
      <c r="C34" s="385">
        <v>1007349453.4</v>
      </c>
    </row>
    <row r="35" spans="1:3">
      <c r="A35" s="383" t="s">
        <v>90</v>
      </c>
      <c r="B35" s="391">
        <v>1480585806</v>
      </c>
      <c r="C35" s="385">
        <v>1480585806</v>
      </c>
    </row>
    <row r="36" spans="1:3">
      <c r="A36" s="384">
        <v>2119085859</v>
      </c>
      <c r="B36" s="391">
        <v>1480585806</v>
      </c>
      <c r="C36" s="385">
        <v>1480585806</v>
      </c>
    </row>
    <row r="37" spans="1:3">
      <c r="A37" s="383" t="s">
        <v>95</v>
      </c>
      <c r="B37" s="391">
        <v>65295894.299999997</v>
      </c>
      <c r="C37" s="385">
        <v>65295894.299999997</v>
      </c>
    </row>
    <row r="38" spans="1:3">
      <c r="A38" s="384">
        <v>93279849</v>
      </c>
      <c r="B38" s="391">
        <v>65295894.299999997</v>
      </c>
      <c r="C38" s="385">
        <v>65295894.299999997</v>
      </c>
    </row>
    <row r="39" spans="1:3">
      <c r="A39" s="383" t="s">
        <v>81</v>
      </c>
      <c r="B39" s="391" t="e">
        <v>#REF!</v>
      </c>
      <c r="C39" s="385">
        <v>793556396</v>
      </c>
    </row>
    <row r="40" spans="1:3">
      <c r="A40" s="384">
        <v>1133652300</v>
      </c>
      <c r="B40" s="391" t="e">
        <v>#REF!</v>
      </c>
      <c r="C40" s="385">
        <v>793556396</v>
      </c>
    </row>
    <row r="41" spans="1:3">
      <c r="A41" s="383" t="s">
        <v>104</v>
      </c>
      <c r="B41" s="391">
        <v>467993773.80000001</v>
      </c>
      <c r="C41" s="385">
        <v>467993774</v>
      </c>
    </row>
    <row r="42" spans="1:3">
      <c r="A42" s="384">
        <v>668562534</v>
      </c>
      <c r="B42" s="391">
        <v>467993773.80000001</v>
      </c>
      <c r="C42" s="385">
        <v>467993774</v>
      </c>
    </row>
    <row r="43" spans="1:3">
      <c r="A43" s="383" t="s">
        <v>96</v>
      </c>
      <c r="B43" s="391">
        <v>689519512.5</v>
      </c>
      <c r="C43" s="385">
        <v>689519512.5</v>
      </c>
    </row>
    <row r="44" spans="1:3">
      <c r="A44" s="384">
        <v>985027875</v>
      </c>
      <c r="B44" s="391">
        <v>689519512.5</v>
      </c>
      <c r="C44" s="385">
        <v>689519512.5</v>
      </c>
    </row>
    <row r="45" spans="1:3">
      <c r="A45" s="383" t="s">
        <v>79</v>
      </c>
      <c r="B45" s="391" t="e">
        <v>#REF!</v>
      </c>
      <c r="C45" s="385">
        <v>663159675</v>
      </c>
    </row>
    <row r="46" spans="1:3">
      <c r="A46" s="384">
        <v>947370962</v>
      </c>
      <c r="B46" s="391" t="e">
        <v>#REF!</v>
      </c>
      <c r="C46" s="385">
        <v>663159675</v>
      </c>
    </row>
    <row r="47" spans="1:3">
      <c r="A47" s="383" t="s">
        <v>85</v>
      </c>
      <c r="B47" s="391">
        <v>85015073</v>
      </c>
      <c r="C47" s="385">
        <v>101707010</v>
      </c>
    </row>
    <row r="48" spans="1:3">
      <c r="A48" s="384">
        <v>145295732</v>
      </c>
      <c r="B48" s="391">
        <v>85015073</v>
      </c>
      <c r="C48" s="385">
        <v>101707010</v>
      </c>
    </row>
    <row r="49" spans="1:3">
      <c r="A49" s="383" t="s">
        <v>109</v>
      </c>
      <c r="B49" s="391">
        <v>108433725</v>
      </c>
      <c r="C49" s="385">
        <v>108433725</v>
      </c>
    </row>
    <row r="50" spans="1:3">
      <c r="A50" s="384">
        <v>155260511</v>
      </c>
      <c r="B50" s="391">
        <v>108433725</v>
      </c>
      <c r="C50" s="385">
        <v>108433725</v>
      </c>
    </row>
    <row r="51" spans="1:3">
      <c r="A51" s="383" t="s">
        <v>129</v>
      </c>
      <c r="B51" s="391">
        <v>22045950</v>
      </c>
      <c r="C51" s="385">
        <v>22045950</v>
      </c>
    </row>
    <row r="52" spans="1:3">
      <c r="A52" s="384">
        <v>31494214</v>
      </c>
      <c r="B52" s="391">
        <v>22045950</v>
      </c>
      <c r="C52" s="385">
        <v>22045950</v>
      </c>
    </row>
    <row r="53" spans="1:3">
      <c r="A53" s="383" t="s">
        <v>78</v>
      </c>
      <c r="B53" s="391">
        <v>203905476</v>
      </c>
      <c r="C53" s="385">
        <v>203612217.19999999</v>
      </c>
    </row>
    <row r="54" spans="1:3">
      <c r="A54" s="384">
        <v>290874596</v>
      </c>
      <c r="B54" s="391">
        <v>203905476</v>
      </c>
      <c r="C54" s="385">
        <v>203612217.19999999</v>
      </c>
    </row>
    <row r="55" spans="1:3">
      <c r="A55" s="383" t="s">
        <v>102</v>
      </c>
      <c r="B55" s="391">
        <v>58561743</v>
      </c>
      <c r="C55" s="385">
        <v>58468410.399999999</v>
      </c>
    </row>
    <row r="56" spans="1:3">
      <c r="A56" s="384">
        <v>83526300</v>
      </c>
      <c r="B56" s="391">
        <v>58561743</v>
      </c>
      <c r="C56" s="385">
        <v>58468410.399999999</v>
      </c>
    </row>
    <row r="57" spans="1:3">
      <c r="A57" s="383" t="s">
        <v>133</v>
      </c>
      <c r="B57" s="391">
        <v>0</v>
      </c>
      <c r="C57" s="385">
        <v>0</v>
      </c>
    </row>
    <row r="58" spans="1:3">
      <c r="A58" s="384">
        <v>28959120</v>
      </c>
      <c r="B58" s="391">
        <v>0</v>
      </c>
      <c r="C58" s="385">
        <v>0</v>
      </c>
    </row>
    <row r="59" spans="1:3">
      <c r="A59" s="383" t="s">
        <v>135</v>
      </c>
      <c r="B59" s="391">
        <v>0</v>
      </c>
      <c r="C59" s="385">
        <v>0</v>
      </c>
    </row>
    <row r="60" spans="1:3">
      <c r="A60" s="384">
        <v>36461952</v>
      </c>
      <c r="B60" s="391">
        <v>0</v>
      </c>
      <c r="C60" s="385">
        <v>0</v>
      </c>
    </row>
    <row r="61" spans="1:3">
      <c r="A61" s="383" t="s">
        <v>134</v>
      </c>
      <c r="B61" s="391">
        <v>0</v>
      </c>
      <c r="C61" s="385">
        <v>0</v>
      </c>
    </row>
    <row r="62" spans="1:3">
      <c r="A62" s="384">
        <v>66702867</v>
      </c>
      <c r="B62" s="391">
        <v>0</v>
      </c>
      <c r="C62" s="385">
        <v>0</v>
      </c>
    </row>
    <row r="63" spans="1:3">
      <c r="A63" s="383" t="s">
        <v>108</v>
      </c>
      <c r="B63" s="391">
        <v>1807627421</v>
      </c>
      <c r="C63" s="385">
        <v>1807627421</v>
      </c>
    </row>
    <row r="64" spans="1:3">
      <c r="A64" s="384">
        <v>1907008342</v>
      </c>
      <c r="B64" s="391">
        <v>1807627421</v>
      </c>
      <c r="C64" s="385">
        <v>1807627421</v>
      </c>
    </row>
    <row r="65" spans="1:3">
      <c r="A65" s="383" t="s">
        <v>139</v>
      </c>
      <c r="B65" s="391">
        <v>0</v>
      </c>
      <c r="C65" s="385">
        <v>0</v>
      </c>
    </row>
    <row r="66" spans="1:3">
      <c r="A66" s="384">
        <v>1223299</v>
      </c>
      <c r="B66" s="391">
        <v>0</v>
      </c>
      <c r="C66" s="385">
        <v>0</v>
      </c>
    </row>
    <row r="67" spans="1:3">
      <c r="A67" s="383" t="s">
        <v>141</v>
      </c>
      <c r="B67" s="391">
        <v>3903653</v>
      </c>
      <c r="C67" s="385">
        <v>3903653</v>
      </c>
    </row>
    <row r="68" spans="1:3">
      <c r="A68" s="384">
        <v>4366488</v>
      </c>
      <c r="B68" s="391">
        <v>3903653</v>
      </c>
      <c r="C68" s="385">
        <v>3903653</v>
      </c>
    </row>
    <row r="69" spans="1:3">
      <c r="A69" s="383" t="s">
        <v>76</v>
      </c>
      <c r="B69" s="391">
        <v>368266572</v>
      </c>
      <c r="C69" s="385">
        <v>368266572</v>
      </c>
    </row>
    <row r="70" spans="1:3">
      <c r="A70" s="384">
        <v>526095103</v>
      </c>
      <c r="B70" s="391">
        <v>368266572</v>
      </c>
      <c r="C70" s="385">
        <v>368266572</v>
      </c>
    </row>
    <row r="71" spans="1:3">
      <c r="A71" s="383" t="s">
        <v>99</v>
      </c>
      <c r="B71" s="391">
        <v>9363976.0999999978</v>
      </c>
      <c r="C71" s="385">
        <v>9363976.0999999978</v>
      </c>
    </row>
    <row r="72" spans="1:3">
      <c r="A72" s="384">
        <v>13377108</v>
      </c>
      <c r="B72" s="391">
        <v>9363976.0999999978</v>
      </c>
      <c r="C72" s="385">
        <v>9363976.0999999978</v>
      </c>
    </row>
    <row r="73" spans="1:3">
      <c r="A73" s="383" t="s">
        <v>75</v>
      </c>
      <c r="B73" s="391">
        <v>0</v>
      </c>
      <c r="C73" s="385">
        <v>0</v>
      </c>
    </row>
    <row r="74" spans="1:3">
      <c r="A74" s="384">
        <v>0</v>
      </c>
      <c r="B74" s="391">
        <v>0</v>
      </c>
      <c r="C74" s="385">
        <v>0</v>
      </c>
    </row>
    <row r="75" spans="1:3">
      <c r="A75" s="383" t="s">
        <v>89</v>
      </c>
      <c r="B75" s="391">
        <v>692754655</v>
      </c>
      <c r="C75" s="385">
        <v>692754655</v>
      </c>
    </row>
    <row r="76" spans="1:3">
      <c r="A76" s="384">
        <v>1662611172</v>
      </c>
      <c r="B76" s="391">
        <v>692754655</v>
      </c>
      <c r="C76" s="385">
        <v>692754655</v>
      </c>
    </row>
    <row r="77" spans="1:3">
      <c r="A77" s="383" t="s">
        <v>110</v>
      </c>
      <c r="B77" s="391">
        <v>12219365</v>
      </c>
      <c r="C77" s="385">
        <v>12219365</v>
      </c>
    </row>
    <row r="78" spans="1:3">
      <c r="A78" s="384">
        <v>29326476</v>
      </c>
      <c r="B78" s="391">
        <v>12219365</v>
      </c>
      <c r="C78" s="385">
        <v>12219365</v>
      </c>
    </row>
    <row r="79" spans="1:3">
      <c r="A79" s="383" t="s">
        <v>103</v>
      </c>
      <c r="B79" s="391">
        <v>159578370</v>
      </c>
      <c r="C79" s="385">
        <v>159578370</v>
      </c>
    </row>
    <row r="80" spans="1:3">
      <c r="A80" s="384">
        <v>159578370</v>
      </c>
      <c r="B80" s="391">
        <v>159578370</v>
      </c>
      <c r="C80" s="385">
        <v>159578370</v>
      </c>
    </row>
    <row r="81" spans="1:3">
      <c r="A81" s="383" t="s">
        <v>88</v>
      </c>
      <c r="B81" s="391">
        <v>304902465</v>
      </c>
      <c r="C81" s="385">
        <v>300402465</v>
      </c>
    </row>
    <row r="82" spans="1:3">
      <c r="A82" s="384">
        <v>713765916</v>
      </c>
      <c r="B82" s="391">
        <v>304902465</v>
      </c>
      <c r="C82" s="385">
        <v>300402465</v>
      </c>
    </row>
    <row r="83" spans="1:3">
      <c r="A83" s="383" t="s">
        <v>92</v>
      </c>
      <c r="B83" s="391">
        <v>82071746.399999991</v>
      </c>
      <c r="C83" s="385">
        <v>82071746</v>
      </c>
    </row>
    <row r="84" spans="1:3">
      <c r="A84" s="384">
        <v>124134220</v>
      </c>
      <c r="B84" s="391">
        <v>82071746.399999991</v>
      </c>
      <c r="C84" s="385">
        <v>82071746</v>
      </c>
    </row>
    <row r="85" spans="1:3">
      <c r="A85" s="383" t="s">
        <v>91</v>
      </c>
      <c r="B85" s="391">
        <v>109673199</v>
      </c>
      <c r="C85" s="385">
        <v>109673199</v>
      </c>
    </row>
    <row r="86" spans="1:3">
      <c r="A86" s="384">
        <v>156676002</v>
      </c>
      <c r="B86" s="391">
        <v>109673199</v>
      </c>
      <c r="C86" s="385">
        <v>109673199</v>
      </c>
    </row>
    <row r="87" spans="1:3">
      <c r="A87" s="383" t="s">
        <v>82</v>
      </c>
      <c r="B87" s="391">
        <v>199065425</v>
      </c>
      <c r="C87" s="385">
        <v>199065400</v>
      </c>
    </row>
    <row r="88" spans="1:3">
      <c r="A88" s="384">
        <v>477757020</v>
      </c>
      <c r="B88" s="391">
        <v>199065425</v>
      </c>
      <c r="C88" s="385">
        <v>199065400</v>
      </c>
    </row>
    <row r="89" spans="1:3">
      <c r="A89" s="383" t="s">
        <v>152</v>
      </c>
      <c r="B89" s="391">
        <v>353698</v>
      </c>
      <c r="C89" s="385">
        <v>353698</v>
      </c>
    </row>
    <row r="90" spans="1:3">
      <c r="A90" s="384">
        <v>0</v>
      </c>
      <c r="B90" s="391">
        <v>353698</v>
      </c>
      <c r="C90" s="385">
        <v>353698</v>
      </c>
    </row>
    <row r="91" spans="1:3">
      <c r="A91" s="383" t="s">
        <v>153</v>
      </c>
      <c r="B91" s="391" t="e">
        <v>#REF!</v>
      </c>
      <c r="C91" s="385">
        <v>11616553814.4</v>
      </c>
    </row>
  </sheetData>
  <pageMargins left="0.7" right="0.7" top="0.75" bottom="0.75" header="0.3" footer="0.3"/>
  <pageSetup orientation="portrait" horizontalDpi="300" verticalDpi="30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/>
  <dimension ref="A1:E3"/>
  <sheetViews>
    <sheetView workbookViewId="0">
      <selection sqref="A1:E3"/>
    </sheetView>
  </sheetViews>
  <sheetFormatPr baseColWidth="10" defaultRowHeight="15"/>
  <cols>
    <col min="3" max="3" width="13" bestFit="1" customWidth="1"/>
    <col min="4" max="4" width="13" customWidth="1"/>
  </cols>
  <sheetData>
    <row r="1" spans="1:5" ht="60.75" thickBot="1">
      <c r="A1" s="201" t="s">
        <v>4</v>
      </c>
      <c r="B1" s="202" t="s">
        <v>73</v>
      </c>
      <c r="C1" s="203" t="s">
        <v>115</v>
      </c>
      <c r="D1" s="204">
        <v>0.7</v>
      </c>
      <c r="E1" s="205" t="s">
        <v>116</v>
      </c>
    </row>
    <row r="2" spans="1:5">
      <c r="A2" s="197" t="s">
        <v>113</v>
      </c>
      <c r="B2" s="198">
        <v>2056</v>
      </c>
      <c r="C2" s="197">
        <v>33652581</v>
      </c>
      <c r="D2" s="199">
        <v>23556806.699999999</v>
      </c>
      <c r="E2" s="200">
        <v>44830110</v>
      </c>
    </row>
    <row r="3" spans="1:5">
      <c r="A3" s="194" t="s">
        <v>114</v>
      </c>
      <c r="B3" s="193">
        <v>2057</v>
      </c>
      <c r="C3" s="194">
        <v>20542133</v>
      </c>
      <c r="D3" s="195">
        <v>14379493.1</v>
      </c>
      <c r="E3" s="196">
        <v>17179493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2:AH33"/>
  <sheetViews>
    <sheetView zoomScale="80" zoomScaleNormal="80" workbookViewId="0">
      <selection activeCell="D1" sqref="D1:U1048576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6.7109375" style="6" bestFit="1" customWidth="1"/>
    <col min="5" max="7" width="11.42578125" style="4" customWidth="1"/>
    <col min="8" max="8" width="17" style="1" customWidth="1"/>
    <col min="9" max="9" width="13" style="1" customWidth="1"/>
    <col min="10" max="16" width="11.42578125" style="1" customWidth="1"/>
    <col min="17" max="17" width="13.7109375" style="1" customWidth="1"/>
    <col min="18" max="18" width="11.42578125" style="1" customWidth="1"/>
    <col min="19" max="19" width="14.28515625" style="1" customWidth="1"/>
    <col min="20" max="20" width="12.7109375" style="1" customWidth="1"/>
    <col min="21" max="21" width="15.5703125" style="1" bestFit="1" customWidth="1"/>
    <col min="22" max="28" width="11.42578125" style="1"/>
    <col min="29" max="29" width="13.5703125" style="1" customWidth="1"/>
    <col min="30" max="30" width="11.42578125" style="1"/>
    <col min="31" max="31" width="13.7109375" style="1" customWidth="1"/>
    <col min="32" max="32" width="12.85546875" style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34.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4</v>
      </c>
    </row>
    <row r="11" spans="1:34">
      <c r="B11" s="3" t="s">
        <v>5</v>
      </c>
    </row>
    <row r="12" spans="1:34">
      <c r="B12" s="3" t="s">
        <v>70</v>
      </c>
    </row>
    <row r="13" spans="1:34" ht="15" thickBot="1"/>
    <row r="14" spans="1:34" ht="42" customHeight="1" thickBot="1">
      <c r="A14" s="17"/>
      <c r="B14" s="807" t="s">
        <v>6</v>
      </c>
      <c r="C14" s="807"/>
      <c r="D14" s="808"/>
      <c r="E14" s="809" t="s">
        <v>25</v>
      </c>
      <c r="F14" s="807"/>
      <c r="G14" s="808"/>
      <c r="H14" s="810" t="s">
        <v>38</v>
      </c>
      <c r="I14" s="811"/>
      <c r="J14" s="811"/>
      <c r="K14" s="811"/>
      <c r="L14" s="811"/>
      <c r="M14" s="811"/>
      <c r="N14" s="811"/>
      <c r="O14" s="811"/>
      <c r="P14" s="811"/>
      <c r="Q14" s="811"/>
      <c r="R14" s="811"/>
      <c r="S14" s="811"/>
      <c r="T14" s="812"/>
      <c r="U14" s="809" t="s">
        <v>39</v>
      </c>
      <c r="V14" s="807"/>
      <c r="W14" s="807"/>
      <c r="X14" s="807"/>
      <c r="Y14" s="807"/>
      <c r="Z14" s="807"/>
      <c r="AA14" s="807"/>
      <c r="AB14" s="807"/>
      <c r="AC14" s="807"/>
      <c r="AD14" s="807"/>
      <c r="AE14" s="807"/>
      <c r="AF14" s="807"/>
      <c r="AG14" s="813"/>
    </row>
    <row r="15" spans="1:34" ht="45.75" thickBot="1">
      <c r="A15" s="25" t="s">
        <v>7</v>
      </c>
      <c r="B15" s="26" t="s">
        <v>8</v>
      </c>
      <c r="C15" s="26" t="s">
        <v>9</v>
      </c>
      <c r="D15" s="27" t="s">
        <v>10</v>
      </c>
      <c r="E15" s="25">
        <v>1</v>
      </c>
      <c r="F15" s="26">
        <v>2</v>
      </c>
      <c r="G15" s="28">
        <v>3</v>
      </c>
      <c r="H15" s="25" t="s">
        <v>11</v>
      </c>
      <c r="I15" s="29" t="s">
        <v>12</v>
      </c>
      <c r="J15" s="29" t="s">
        <v>13</v>
      </c>
      <c r="K15" s="29" t="s">
        <v>14</v>
      </c>
      <c r="L15" s="29" t="s">
        <v>15</v>
      </c>
      <c r="M15" s="29" t="s">
        <v>16</v>
      </c>
      <c r="N15" s="29" t="s">
        <v>17</v>
      </c>
      <c r="O15" s="29" t="s">
        <v>18</v>
      </c>
      <c r="P15" s="29" t="s">
        <v>19</v>
      </c>
      <c r="Q15" s="29" t="s">
        <v>20</v>
      </c>
      <c r="R15" s="29" t="s">
        <v>21</v>
      </c>
      <c r="S15" s="29" t="s">
        <v>22</v>
      </c>
      <c r="T15" s="30" t="s">
        <v>23</v>
      </c>
      <c r="U15" s="31" t="s">
        <v>12</v>
      </c>
      <c r="V15" s="29" t="s">
        <v>13</v>
      </c>
      <c r="W15" s="29" t="s">
        <v>14</v>
      </c>
      <c r="X15" s="29" t="s">
        <v>15</v>
      </c>
      <c r="Y15" s="29" t="s">
        <v>16</v>
      </c>
      <c r="Z15" s="29" t="s">
        <v>17</v>
      </c>
      <c r="AA15" s="29" t="s">
        <v>18</v>
      </c>
      <c r="AB15" s="29" t="s">
        <v>19</v>
      </c>
      <c r="AC15" s="29" t="s">
        <v>20</v>
      </c>
      <c r="AD15" s="29" t="s">
        <v>21</v>
      </c>
      <c r="AE15" s="29" t="s">
        <v>22</v>
      </c>
      <c r="AF15" s="30" t="s">
        <v>23</v>
      </c>
      <c r="AG15" s="56" t="s">
        <v>24</v>
      </c>
      <c r="AH15" s="32" t="s">
        <v>37</v>
      </c>
    </row>
    <row r="16" spans="1:34" ht="15">
      <c r="A16" s="18">
        <v>1</v>
      </c>
      <c r="B16" s="19" t="s">
        <v>26</v>
      </c>
      <c r="C16" s="20" t="s">
        <v>29</v>
      </c>
      <c r="D16" s="21"/>
      <c r="E16" s="22"/>
      <c r="F16" s="23"/>
      <c r="G16" s="24"/>
      <c r="H16" s="4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21"/>
      <c r="U16" s="38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55"/>
      <c r="AG16" s="36">
        <f>SUM(U16:AF16)</f>
        <v>0</v>
      </c>
      <c r="AH16" s="36">
        <f>+H16-AG16</f>
        <v>0</v>
      </c>
    </row>
    <row r="17" spans="1:34" ht="15">
      <c r="A17" s="11">
        <v>2</v>
      </c>
      <c r="B17" s="7" t="s">
        <v>27</v>
      </c>
      <c r="C17" s="8" t="s">
        <v>29</v>
      </c>
      <c r="D17" s="13"/>
      <c r="E17" s="15"/>
      <c r="F17" s="14"/>
      <c r="G17" s="16"/>
      <c r="H17" s="42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3"/>
      <c r="U17" s="35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13"/>
      <c r="AG17" s="37">
        <f t="shared" ref="AG17:AG24" si="0">SUM(U17:AF17)</f>
        <v>0</v>
      </c>
      <c r="AH17" s="37">
        <f t="shared" ref="AH17:AH25" si="1">+H17-AG17</f>
        <v>0</v>
      </c>
    </row>
    <row r="18" spans="1:34" ht="15">
      <c r="A18" s="11">
        <v>3</v>
      </c>
      <c r="B18" s="7" t="s">
        <v>28</v>
      </c>
      <c r="C18" s="8" t="s">
        <v>29</v>
      </c>
      <c r="D18" s="13"/>
      <c r="E18" s="15"/>
      <c r="F18" s="14"/>
      <c r="G18" s="16"/>
      <c r="H18" s="42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3"/>
      <c r="U18" s="35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3"/>
      <c r="AG18" s="37">
        <f t="shared" si="0"/>
        <v>0</v>
      </c>
      <c r="AH18" s="37">
        <f t="shared" si="1"/>
        <v>0</v>
      </c>
    </row>
    <row r="19" spans="1:34" ht="15">
      <c r="A19" s="11">
        <v>4</v>
      </c>
      <c r="B19" s="7" t="s">
        <v>30</v>
      </c>
      <c r="C19" s="8" t="s">
        <v>29</v>
      </c>
      <c r="D19" s="13"/>
      <c r="E19" s="15"/>
      <c r="F19" s="14"/>
      <c r="G19" s="16"/>
      <c r="H19" s="42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3"/>
      <c r="U19" s="35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13"/>
      <c r="AG19" s="37">
        <f t="shared" si="0"/>
        <v>0</v>
      </c>
      <c r="AH19" s="37">
        <f t="shared" si="1"/>
        <v>0</v>
      </c>
    </row>
    <row r="20" spans="1:34" ht="43.5">
      <c r="A20" s="11">
        <v>5</v>
      </c>
      <c r="B20" s="10" t="s">
        <v>31</v>
      </c>
      <c r="C20" s="8" t="s">
        <v>29</v>
      </c>
      <c r="D20" s="13"/>
      <c r="E20" s="15"/>
      <c r="F20" s="14"/>
      <c r="G20" s="16"/>
      <c r="H20" s="42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13"/>
      <c r="U20" s="35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13"/>
      <c r="AG20" s="37">
        <f t="shared" si="0"/>
        <v>0</v>
      </c>
      <c r="AH20" s="37">
        <f t="shared" si="1"/>
        <v>0</v>
      </c>
    </row>
    <row r="21" spans="1:34" ht="15">
      <c r="A21" s="11">
        <v>6</v>
      </c>
      <c r="B21" s="7" t="s">
        <v>32</v>
      </c>
      <c r="C21" s="8" t="s">
        <v>29</v>
      </c>
      <c r="D21" s="13"/>
      <c r="E21" s="15"/>
      <c r="F21" s="14"/>
      <c r="G21" s="16"/>
      <c r="H21" s="42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3"/>
      <c r="U21" s="35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13"/>
      <c r="AG21" s="37">
        <f t="shared" si="0"/>
        <v>0</v>
      </c>
      <c r="AH21" s="37">
        <f t="shared" si="1"/>
        <v>0</v>
      </c>
    </row>
    <row r="22" spans="1:34" ht="15">
      <c r="A22" s="11">
        <v>7</v>
      </c>
      <c r="B22" s="7" t="s">
        <v>33</v>
      </c>
      <c r="C22" s="8" t="s">
        <v>29</v>
      </c>
      <c r="D22" s="13"/>
      <c r="E22" s="15"/>
      <c r="F22" s="14"/>
      <c r="G22" s="16"/>
      <c r="H22" s="4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3"/>
      <c r="U22" s="35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13"/>
      <c r="AG22" s="37">
        <f t="shared" si="0"/>
        <v>0</v>
      </c>
      <c r="AH22" s="37">
        <f t="shared" si="1"/>
        <v>0</v>
      </c>
    </row>
    <row r="23" spans="1:34" ht="15">
      <c r="A23" s="11">
        <v>8</v>
      </c>
      <c r="B23" s="7" t="s">
        <v>35</v>
      </c>
      <c r="C23" s="8" t="s">
        <v>29</v>
      </c>
      <c r="D23" s="13"/>
      <c r="E23" s="15"/>
      <c r="F23" s="14"/>
      <c r="G23" s="16"/>
      <c r="H23" s="42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3"/>
      <c r="U23" s="35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3"/>
      <c r="AG23" s="37">
        <f t="shared" si="0"/>
        <v>0</v>
      </c>
      <c r="AH23" s="37">
        <f t="shared" si="1"/>
        <v>0</v>
      </c>
    </row>
    <row r="24" spans="1:34" ht="15.75" thickBot="1">
      <c r="A24" s="51">
        <v>9</v>
      </c>
      <c r="B24" s="52" t="s">
        <v>34</v>
      </c>
      <c r="C24" s="53" t="s">
        <v>29</v>
      </c>
      <c r="D24" s="43"/>
      <c r="E24" s="44"/>
      <c r="F24" s="45"/>
      <c r="G24" s="46"/>
      <c r="H24" s="47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3"/>
      <c r="U24" s="49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3"/>
      <c r="AG24" s="50">
        <f t="shared" si="0"/>
        <v>0</v>
      </c>
      <c r="AH24" s="50">
        <f t="shared" si="1"/>
        <v>0</v>
      </c>
    </row>
    <row r="25" spans="1:34" ht="15.75" thickBot="1">
      <c r="A25" s="805" t="s">
        <v>36</v>
      </c>
      <c r="B25" s="806"/>
      <c r="C25" s="57"/>
      <c r="D25" s="58">
        <f>SUM(D16:D24)</f>
        <v>0</v>
      </c>
      <c r="E25" s="59"/>
      <c r="F25" s="60"/>
      <c r="G25" s="61"/>
      <c r="H25" s="62">
        <f>SUM(I25:T25)</f>
        <v>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58"/>
      <c r="U25" s="62">
        <f>SUM(U16:U24)</f>
        <v>0</v>
      </c>
      <c r="V25" s="62">
        <f t="shared" ref="V25:AF25" si="2">SUM(V16:V24)</f>
        <v>0</v>
      </c>
      <c r="W25" s="62">
        <f t="shared" si="2"/>
        <v>0</v>
      </c>
      <c r="X25" s="62">
        <f t="shared" si="2"/>
        <v>0</v>
      </c>
      <c r="Y25" s="62">
        <f t="shared" si="2"/>
        <v>0</v>
      </c>
      <c r="Z25" s="62">
        <f t="shared" si="2"/>
        <v>0</v>
      </c>
      <c r="AA25" s="62">
        <f t="shared" si="2"/>
        <v>0</v>
      </c>
      <c r="AB25" s="62">
        <f t="shared" si="2"/>
        <v>0</v>
      </c>
      <c r="AC25" s="62">
        <f t="shared" si="2"/>
        <v>0</v>
      </c>
      <c r="AD25" s="62">
        <f t="shared" si="2"/>
        <v>0</v>
      </c>
      <c r="AE25" s="62">
        <f t="shared" si="2"/>
        <v>0</v>
      </c>
      <c r="AF25" s="62">
        <f t="shared" si="2"/>
        <v>0</v>
      </c>
      <c r="AG25" s="64">
        <f>SUM(U25:AF25)</f>
        <v>0</v>
      </c>
      <c r="AH25" s="64">
        <f t="shared" si="1"/>
        <v>0</v>
      </c>
    </row>
    <row r="26" spans="1:34">
      <c r="E26" s="5"/>
      <c r="F26" s="5"/>
      <c r="G26" s="5"/>
    </row>
    <row r="27" spans="1:34">
      <c r="E27" s="5"/>
      <c r="F27" s="5"/>
      <c r="G27" s="5"/>
    </row>
    <row r="28" spans="1:34">
      <c r="E28" s="5"/>
      <c r="F28" s="5"/>
      <c r="G28" s="5"/>
    </row>
    <row r="29" spans="1:34">
      <c r="E29" s="5"/>
      <c r="F29" s="5"/>
      <c r="G29" s="5"/>
    </row>
    <row r="30" spans="1:34">
      <c r="E30" s="5"/>
      <c r="F30" s="5"/>
      <c r="G30" s="5"/>
    </row>
    <row r="31" spans="1:34">
      <c r="E31" s="5"/>
      <c r="F31" s="5"/>
      <c r="G31" s="5"/>
    </row>
    <row r="32" spans="1:34">
      <c r="E32" s="5"/>
      <c r="F32" s="5"/>
      <c r="G32" s="5"/>
    </row>
    <row r="33" spans="5:7">
      <c r="E33" s="5"/>
      <c r="F33" s="5"/>
      <c r="G33" s="5"/>
    </row>
  </sheetData>
  <mergeCells count="6">
    <mergeCell ref="A25:B25"/>
    <mergeCell ref="H5:AD7"/>
    <mergeCell ref="B14:D14"/>
    <mergeCell ref="E14:G14"/>
    <mergeCell ref="H14:T14"/>
    <mergeCell ref="U14:AG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BB105"/>
  <sheetViews>
    <sheetView tabSelected="1" zoomScale="80" zoomScaleNormal="80" workbookViewId="0">
      <selection activeCell="D68" sqref="D68"/>
    </sheetView>
  </sheetViews>
  <sheetFormatPr baseColWidth="10" defaultRowHeight="14.25"/>
  <cols>
    <col min="1" max="1" width="4.85546875" style="1" customWidth="1"/>
    <col min="2" max="2" width="52" style="1" bestFit="1" customWidth="1"/>
    <col min="3" max="3" width="44.140625" style="1" customWidth="1"/>
    <col min="4" max="4" width="21.5703125" style="6" customWidth="1"/>
    <col min="5" max="5" width="15.5703125" style="4" customWidth="1"/>
    <col min="6" max="6" width="14.85546875" style="4" customWidth="1"/>
    <col min="7" max="7" width="19.5703125" style="4" customWidth="1"/>
    <col min="8" max="8" width="20" style="1" customWidth="1"/>
    <col min="9" max="9" width="16.5703125" style="1" hidden="1" customWidth="1"/>
    <col min="10" max="10" width="16.7109375" style="207" hidden="1" customWidth="1"/>
    <col min="11" max="12" width="17.7109375" style="1" hidden="1" customWidth="1"/>
    <col min="13" max="13" width="19.42578125" style="207" hidden="1" customWidth="1"/>
    <col min="14" max="14" width="19" style="402" hidden="1" customWidth="1"/>
    <col min="15" max="15" width="19" style="1" hidden="1" customWidth="1"/>
    <col min="16" max="16" width="17.7109375" style="207" hidden="1" customWidth="1"/>
    <col min="17" max="17" width="17.42578125" style="1" hidden="1" customWidth="1"/>
    <col min="18" max="18" width="17" style="1" hidden="1" customWidth="1"/>
    <col min="19" max="19" width="17.7109375" style="1" customWidth="1"/>
    <col min="20" max="20" width="19.7109375" style="1" customWidth="1"/>
    <col min="21" max="21" width="17.7109375" style="1" hidden="1" customWidth="1"/>
    <col min="22" max="22" width="16.28515625" style="207" hidden="1" customWidth="1"/>
    <col min="23" max="23" width="14.42578125" style="207" hidden="1" customWidth="1"/>
    <col min="24" max="24" width="16.7109375" style="207" hidden="1" customWidth="1"/>
    <col min="25" max="25" width="14.7109375" style="207" hidden="1" customWidth="1"/>
    <col min="26" max="26" width="17.140625" style="207" hidden="1" customWidth="1"/>
    <col min="27" max="27" width="14.140625" style="207" hidden="1" customWidth="1"/>
    <col min="28" max="28" width="16.5703125" style="299" hidden="1" customWidth="1"/>
    <col min="29" max="29" width="13.5703125" style="299" hidden="1" customWidth="1"/>
    <col min="30" max="30" width="17.28515625" style="207" hidden="1" customWidth="1"/>
    <col min="31" max="31" width="19.140625" style="207" customWidth="1"/>
    <col min="32" max="32" width="18.28515625" style="207" customWidth="1"/>
    <col min="33" max="33" width="17" style="207" customWidth="1"/>
    <col min="34" max="34" width="17.140625" style="1" customWidth="1"/>
    <col min="35" max="35" width="16" style="1" customWidth="1"/>
    <col min="36" max="36" width="11.42578125" style="1" customWidth="1"/>
    <col min="37" max="37" width="13.140625" style="207" hidden="1" customWidth="1"/>
    <col min="38" max="38" width="15.28515625" style="1" hidden="1" customWidth="1"/>
    <col min="39" max="39" width="14.85546875" style="1" hidden="1" customWidth="1"/>
    <col min="40" max="40" width="14.42578125" style="1" hidden="1" customWidth="1"/>
    <col min="41" max="41" width="15.28515625" style="1" hidden="1" customWidth="1"/>
    <col min="42" max="43" width="14.42578125" style="1" hidden="1" customWidth="1"/>
    <col min="44" max="44" width="14.28515625" style="1" hidden="1" customWidth="1"/>
    <col min="45" max="45" width="14.42578125" style="1" hidden="1" customWidth="1"/>
    <col min="46" max="46" width="14.140625" style="1" hidden="1" customWidth="1"/>
    <col min="47" max="47" width="19.14062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4.85546875" style="1" bestFit="1" customWidth="1"/>
    <col min="52" max="52" width="15" style="1" bestFit="1" customWidth="1"/>
    <col min="53" max="53" width="11.42578125" style="1"/>
    <col min="54" max="54" width="14.5703125" style="1" bestFit="1" customWidth="1"/>
    <col min="55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42</v>
      </c>
    </row>
    <row r="11" spans="1:34">
      <c r="B11" s="3" t="s">
        <v>43</v>
      </c>
    </row>
    <row r="12" spans="1:34">
      <c r="B12" s="3" t="s">
        <v>70</v>
      </c>
    </row>
    <row r="13" spans="1:34" ht="15" thickBot="1">
      <c r="I13" s="252">
        <v>444079</v>
      </c>
      <c r="J13" s="217">
        <v>468950</v>
      </c>
      <c r="K13" s="217">
        <v>461025.21000000008</v>
      </c>
      <c r="L13" s="217">
        <v>461025</v>
      </c>
    </row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2" t="s">
        <v>38</v>
      </c>
      <c r="I14" s="713"/>
      <c r="J14" s="713"/>
      <c r="K14" s="713"/>
      <c r="L14" s="713"/>
      <c r="M14" s="713"/>
      <c r="N14" s="713"/>
      <c r="O14" s="713"/>
      <c r="P14" s="713"/>
      <c r="Q14" s="713"/>
      <c r="R14" s="713"/>
      <c r="S14" s="713"/>
      <c r="T14" s="714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246" t="s">
        <v>13</v>
      </c>
      <c r="K15" s="74" t="s">
        <v>14</v>
      </c>
      <c r="L15" s="161" t="s">
        <v>15</v>
      </c>
      <c r="M15" s="246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228050433*12</f>
        <v>2736605196</v>
      </c>
      <c r="E16" s="22"/>
      <c r="F16" s="23"/>
      <c r="G16" s="24"/>
      <c r="H16" s="318">
        <f>SUM(I16:T16)</f>
        <v>2736605196</v>
      </c>
      <c r="I16" s="153">
        <v>228050433</v>
      </c>
      <c r="J16" s="217">
        <v>228050433</v>
      </c>
      <c r="K16" s="217">
        <v>228050433</v>
      </c>
      <c r="L16" s="217">
        <v>228050433</v>
      </c>
      <c r="M16" s="217">
        <v>228050433</v>
      </c>
      <c r="N16" s="403">
        <v>228050433</v>
      </c>
      <c r="O16" s="33">
        <v>228050433</v>
      </c>
      <c r="P16" s="212">
        <v>228050433</v>
      </c>
      <c r="Q16" s="33">
        <v>228050433</v>
      </c>
      <c r="R16" s="217">
        <v>228050433</v>
      </c>
      <c r="S16" s="33">
        <v>228050433</v>
      </c>
      <c r="T16" s="21">
        <v>228050433</v>
      </c>
      <c r="U16" s="38">
        <v>228050433</v>
      </c>
      <c r="V16" s="217">
        <v>228050433</v>
      </c>
      <c r="W16" s="65">
        <v>228050433</v>
      </c>
      <c r="X16" s="217">
        <v>228050433</v>
      </c>
      <c r="Y16" s="209">
        <v>228050433</v>
      </c>
      <c r="Z16" s="217">
        <v>228050433</v>
      </c>
      <c r="AA16" s="209">
        <v>228050433</v>
      </c>
      <c r="AB16" s="517">
        <v>228050433</v>
      </c>
      <c r="AC16" s="517">
        <v>228050433</v>
      </c>
      <c r="AD16" s="209">
        <v>228050433</v>
      </c>
      <c r="AE16" s="209">
        <v>228050433</v>
      </c>
      <c r="AF16" s="225">
        <v>228050433</v>
      </c>
      <c r="AG16" s="226">
        <f>SUM(U16:AF16)</f>
        <v>2736605196</v>
      </c>
      <c r="AH16" s="123">
        <f t="shared" ref="AH16:AH30" si="0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>
        <f>3180930*12</f>
        <v>38171160</v>
      </c>
      <c r="E17" s="15"/>
      <c r="F17" s="14"/>
      <c r="G17" s="16"/>
      <c r="H17" s="319">
        <f>SUM(I17:T17)</f>
        <v>38171160</v>
      </c>
      <c r="I17" s="154">
        <v>3180930</v>
      </c>
      <c r="J17" s="217">
        <v>3180930</v>
      </c>
      <c r="K17" s="217">
        <v>3180930</v>
      </c>
      <c r="L17" s="217">
        <v>3180930</v>
      </c>
      <c r="M17" s="217">
        <v>3180930</v>
      </c>
      <c r="N17" s="404">
        <v>3180930</v>
      </c>
      <c r="O17" s="9">
        <v>3180930</v>
      </c>
      <c r="P17" s="206">
        <v>3180930</v>
      </c>
      <c r="Q17" s="9">
        <v>3180930</v>
      </c>
      <c r="R17" s="217">
        <v>3180930</v>
      </c>
      <c r="S17" s="9">
        <v>3180930</v>
      </c>
      <c r="T17" s="13">
        <v>3180930</v>
      </c>
      <c r="U17" s="35">
        <v>3180930</v>
      </c>
      <c r="V17" s="217">
        <v>3180930</v>
      </c>
      <c r="W17" s="65">
        <v>3180930</v>
      </c>
      <c r="X17" s="217">
        <v>3180930</v>
      </c>
      <c r="Y17" s="206">
        <v>3180930</v>
      </c>
      <c r="Z17" s="217">
        <v>3180930</v>
      </c>
      <c r="AA17" s="206">
        <v>3180930</v>
      </c>
      <c r="AB17" s="172">
        <v>3180930</v>
      </c>
      <c r="AC17" s="172">
        <v>3180930</v>
      </c>
      <c r="AD17" s="206">
        <v>3180930</v>
      </c>
      <c r="AE17" s="206">
        <v>3180930</v>
      </c>
      <c r="AF17" s="227">
        <v>3180930</v>
      </c>
      <c r="AG17" s="228">
        <f t="shared" ref="AG17:AG28" si="1">SUM(U17:AF17)</f>
        <v>38171160</v>
      </c>
      <c r="AH17" s="124">
        <f t="shared" si="0"/>
        <v>0</v>
      </c>
    </row>
    <row r="18" spans="1:48" ht="14.25" hidden="1" customHeight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217">
        <v>0</v>
      </c>
      <c r="K18" s="217">
        <v>0</v>
      </c>
      <c r="L18" s="217">
        <v>0</v>
      </c>
      <c r="M18" s="217">
        <v>0</v>
      </c>
      <c r="N18" s="404">
        <v>0</v>
      </c>
      <c r="O18" s="9">
        <v>0</v>
      </c>
      <c r="P18" s="206">
        <v>0</v>
      </c>
      <c r="Q18" s="9">
        <v>0</v>
      </c>
      <c r="R18" s="217">
        <v>0</v>
      </c>
      <c r="S18" s="9">
        <v>0</v>
      </c>
      <c r="T18" s="13">
        <v>0</v>
      </c>
      <c r="U18" s="35"/>
      <c r="V18" s="217">
        <v>0</v>
      </c>
      <c r="W18" s="206"/>
      <c r="X18" s="217">
        <v>0</v>
      </c>
      <c r="Y18" s="206">
        <v>0</v>
      </c>
      <c r="Z18" s="217">
        <v>0</v>
      </c>
      <c r="AA18" s="206">
        <v>0</v>
      </c>
      <c r="AB18" s="172">
        <v>0</v>
      </c>
      <c r="AC18" s="172">
        <v>0</v>
      </c>
      <c r="AD18" s="206">
        <v>0</v>
      </c>
      <c r="AE18" s="206">
        <v>0</v>
      </c>
      <c r="AF18" s="227">
        <v>0</v>
      </c>
      <c r="AG18" s="228">
        <f t="shared" si="1"/>
        <v>0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-1823780*12</f>
        <v>-21885360</v>
      </c>
      <c r="E19" s="15"/>
      <c r="F19" s="14"/>
      <c r="G19" s="16"/>
      <c r="H19" s="319">
        <f t="shared" si="2"/>
        <v>-25571855</v>
      </c>
      <c r="I19" s="154">
        <v>-1823780</v>
      </c>
      <c r="J19" s="217">
        <v>-1823780</v>
      </c>
      <c r="K19" s="217">
        <v>-1823780</v>
      </c>
      <c r="L19" s="217">
        <v>-1823780</v>
      </c>
      <c r="M19" s="217">
        <v>-1823780</v>
      </c>
      <c r="N19" s="404">
        <v>-1823780</v>
      </c>
      <c r="O19" s="9">
        <v>-1823780</v>
      </c>
      <c r="P19" s="206">
        <v>-2561079</v>
      </c>
      <c r="Q19" s="9">
        <v>-2561079</v>
      </c>
      <c r="R19" s="217">
        <v>-2561079</v>
      </c>
      <c r="S19" s="9">
        <v>-2561079</v>
      </c>
      <c r="T19" s="13">
        <v>-2561079</v>
      </c>
      <c r="U19" s="35">
        <v>-1823780</v>
      </c>
      <c r="V19" s="217">
        <v>-1823780</v>
      </c>
      <c r="W19" s="206">
        <v>-1823780</v>
      </c>
      <c r="X19" s="217">
        <v>-1823780</v>
      </c>
      <c r="Y19" s="206">
        <v>-1823780</v>
      </c>
      <c r="Z19" s="217">
        <v>-1823780</v>
      </c>
      <c r="AA19" s="206">
        <v>-1823780</v>
      </c>
      <c r="AB19" s="172">
        <v>-2561079</v>
      </c>
      <c r="AC19" s="172">
        <v>-2561079</v>
      </c>
      <c r="AD19" s="206">
        <v>-2561079</v>
      </c>
      <c r="AE19" s="206">
        <v>-2561079</v>
      </c>
      <c r="AF19" s="227">
        <v>-2561079</v>
      </c>
      <c r="AG19" s="228">
        <f t="shared" si="1"/>
        <v>-25571855</v>
      </c>
      <c r="AH19" s="124">
        <f t="shared" si="0"/>
        <v>0</v>
      </c>
    </row>
    <row r="20" spans="1:48" ht="29.25">
      <c r="A20" s="11">
        <v>5</v>
      </c>
      <c r="B20" s="10" t="s">
        <v>31</v>
      </c>
      <c r="C20" s="147" t="s">
        <v>29</v>
      </c>
      <c r="D20" s="13">
        <f>1571077*12</f>
        <v>18852924</v>
      </c>
      <c r="E20" s="15"/>
      <c r="F20" s="14"/>
      <c r="G20" s="16"/>
      <c r="H20" s="319">
        <f t="shared" si="2"/>
        <v>19949014.588000007</v>
      </c>
      <c r="I20" s="154">
        <v>1571077</v>
      </c>
      <c r="J20" s="217">
        <v>1571077</v>
      </c>
      <c r="K20" s="217">
        <v>1571077</v>
      </c>
      <c r="L20" s="217">
        <v>1571077</v>
      </c>
      <c r="M20" s="206">
        <v>1571077</v>
      </c>
      <c r="N20" s="404">
        <v>1571077</v>
      </c>
      <c r="O20" s="9">
        <v>1571077</v>
      </c>
      <c r="P20" s="206">
        <v>1571077</v>
      </c>
      <c r="Q20" s="9">
        <v>1571077</v>
      </c>
      <c r="R20" s="206">
        <v>1571077</v>
      </c>
      <c r="S20" s="9">
        <v>1571077</v>
      </c>
      <c r="T20" s="13">
        <v>2667167.5880000065</v>
      </c>
      <c r="U20" s="35">
        <v>1571077</v>
      </c>
      <c r="V20" s="217">
        <v>1571077</v>
      </c>
      <c r="W20" s="65">
        <v>1571077</v>
      </c>
      <c r="X20" s="65">
        <v>1571077</v>
      </c>
      <c r="Y20" s="206">
        <v>1571077</v>
      </c>
      <c r="Z20" s="65">
        <v>1571077</v>
      </c>
      <c r="AA20" s="206">
        <v>1571077</v>
      </c>
      <c r="AB20" s="172">
        <v>1571077</v>
      </c>
      <c r="AC20" s="172">
        <v>1571077</v>
      </c>
      <c r="AD20" s="206">
        <v>1571077</v>
      </c>
      <c r="AE20" s="206">
        <v>1571077</v>
      </c>
      <c r="AF20" s="227">
        <v>2667167.5880000065</v>
      </c>
      <c r="AG20" s="228">
        <f t="shared" si="1"/>
        <v>19949014.588000007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444079*12</f>
        <v>5328948</v>
      </c>
      <c r="E21" s="15"/>
      <c r="F21" s="14"/>
      <c r="G21" s="16"/>
      <c r="H21" s="319">
        <f t="shared" si="2"/>
        <v>7655976.8399999999</v>
      </c>
      <c r="I21" s="154">
        <v>637888</v>
      </c>
      <c r="J21" s="217">
        <v>641783</v>
      </c>
      <c r="K21" s="217">
        <v>655749.84000000008</v>
      </c>
      <c r="L21" s="217">
        <v>655750</v>
      </c>
      <c r="M21" s="206">
        <v>655750</v>
      </c>
      <c r="N21" s="404">
        <v>655750</v>
      </c>
      <c r="O21" s="9">
        <v>655750</v>
      </c>
      <c r="P21" s="206">
        <v>655750</v>
      </c>
      <c r="Q21" s="9">
        <v>655750</v>
      </c>
      <c r="R21" s="206">
        <v>655750</v>
      </c>
      <c r="S21" s="9">
        <v>655750</v>
      </c>
      <c r="T21" s="13">
        <v>474556</v>
      </c>
      <c r="U21" s="35">
        <v>444079</v>
      </c>
      <c r="V21" s="217">
        <v>468950</v>
      </c>
      <c r="W21" s="65">
        <v>115359</v>
      </c>
      <c r="X21" s="65">
        <f>655750+907033</f>
        <v>1562783</v>
      </c>
      <c r="Y21" s="206">
        <v>655750</v>
      </c>
      <c r="Z21" s="65">
        <v>655750</v>
      </c>
      <c r="AA21" s="206">
        <v>655750</v>
      </c>
      <c r="AB21" s="172">
        <v>655750</v>
      </c>
      <c r="AC21" s="172">
        <v>655750</v>
      </c>
      <c r="AD21" s="206">
        <v>655750</v>
      </c>
      <c r="AE21" s="206">
        <v>655750</v>
      </c>
      <c r="AF21" s="227">
        <v>474556</v>
      </c>
      <c r="AG21" s="228">
        <f t="shared" si="1"/>
        <v>7655977</v>
      </c>
      <c r="AH21" s="124">
        <f t="shared" si="0"/>
        <v>-0.16000000014901161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121251050</v>
      </c>
      <c r="I22" s="154"/>
      <c r="J22" s="217"/>
      <c r="K22" s="217"/>
      <c r="L22" s="217">
        <v>30328376</v>
      </c>
      <c r="M22" s="206"/>
      <c r="N22" s="404">
        <v>30172634</v>
      </c>
      <c r="O22" s="9"/>
      <c r="P22" s="206"/>
      <c r="Q22" s="9">
        <v>30320459</v>
      </c>
      <c r="R22" s="206"/>
      <c r="S22" s="9"/>
      <c r="T22" s="13">
        <v>30429581</v>
      </c>
      <c r="U22" s="35"/>
      <c r="V22" s="217"/>
      <c r="W22" s="65"/>
      <c r="X22" s="65">
        <v>30328376</v>
      </c>
      <c r="Y22" s="206"/>
      <c r="Z22" s="65">
        <v>30172634</v>
      </c>
      <c r="AA22" s="206"/>
      <c r="AB22" s="172"/>
      <c r="AC22" s="172">
        <v>30320459</v>
      </c>
      <c r="AD22" s="206"/>
      <c r="AE22" s="206"/>
      <c r="AF22" s="227">
        <v>30429581</v>
      </c>
      <c r="AG22" s="228">
        <f>SUM(U22:AF22)</f>
        <v>121251050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140086141</v>
      </c>
      <c r="I23" s="154"/>
      <c r="J23" s="217"/>
      <c r="K23" s="217"/>
      <c r="L23" s="217">
        <v>35039574</v>
      </c>
      <c r="M23" s="206"/>
      <c r="N23" s="404">
        <v>34859638</v>
      </c>
      <c r="O23" s="9"/>
      <c r="P23" s="206"/>
      <c r="Q23" s="9">
        <v>35030427</v>
      </c>
      <c r="R23" s="206"/>
      <c r="S23" s="9"/>
      <c r="T23" s="13">
        <v>35156502</v>
      </c>
      <c r="U23" s="35"/>
      <c r="V23" s="217"/>
      <c r="W23" s="65"/>
      <c r="X23" s="65">
        <v>35039574</v>
      </c>
      <c r="Y23" s="206"/>
      <c r="Z23" s="65">
        <v>34859638</v>
      </c>
      <c r="AA23" s="206"/>
      <c r="AB23" s="172"/>
      <c r="AC23" s="172">
        <v>35030427</v>
      </c>
      <c r="AD23" s="206"/>
      <c r="AE23" s="206"/>
      <c r="AF23" s="227">
        <v>35156502</v>
      </c>
      <c r="AG23" s="228">
        <f>SUM(U23:AF23)</f>
        <v>140086141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958423*12</f>
        <v>11501076</v>
      </c>
      <c r="E24" s="15"/>
      <c r="F24" s="14"/>
      <c r="G24" s="16"/>
      <c r="H24" s="319">
        <f t="shared" si="2"/>
        <v>11501076</v>
      </c>
      <c r="I24" s="154">
        <v>958423</v>
      </c>
      <c r="J24" s="217">
        <v>958423</v>
      </c>
      <c r="K24" s="217">
        <v>958423</v>
      </c>
      <c r="L24" s="217">
        <v>958423</v>
      </c>
      <c r="M24" s="206">
        <v>958423</v>
      </c>
      <c r="N24" s="404">
        <v>958423</v>
      </c>
      <c r="O24" s="9">
        <v>958423</v>
      </c>
      <c r="P24" s="206">
        <v>958423</v>
      </c>
      <c r="Q24" s="9">
        <v>958423</v>
      </c>
      <c r="R24" s="206">
        <v>958423</v>
      </c>
      <c r="S24" s="9">
        <v>958423</v>
      </c>
      <c r="T24" s="13">
        <v>958423</v>
      </c>
      <c r="U24" s="35">
        <v>958423</v>
      </c>
      <c r="V24" s="217">
        <v>958423</v>
      </c>
      <c r="W24" s="65">
        <v>958423</v>
      </c>
      <c r="X24" s="65">
        <v>958423</v>
      </c>
      <c r="Y24" s="206">
        <v>958423</v>
      </c>
      <c r="Z24" s="65">
        <v>958423</v>
      </c>
      <c r="AA24" s="206">
        <v>958423</v>
      </c>
      <c r="AB24" s="172">
        <v>958423</v>
      </c>
      <c r="AC24" s="172">
        <v>958423</v>
      </c>
      <c r="AD24" s="206">
        <v>958423</v>
      </c>
      <c r="AE24" s="206">
        <v>958423</v>
      </c>
      <c r="AF24" s="227">
        <v>958423</v>
      </c>
      <c r="AG24" s="228">
        <f t="shared" si="1"/>
        <v>11501076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>
        <f>775136*12</f>
        <v>9301632</v>
      </c>
      <c r="E25" s="15"/>
      <c r="F25" s="14"/>
      <c r="G25" s="16"/>
      <c r="H25" s="319">
        <f t="shared" si="2"/>
        <v>9301632.0295000002</v>
      </c>
      <c r="I25" s="154">
        <v>775136</v>
      </c>
      <c r="J25" s="217">
        <v>775136</v>
      </c>
      <c r="K25" s="217">
        <v>775136.02950000006</v>
      </c>
      <c r="L25" s="217">
        <v>775136</v>
      </c>
      <c r="M25" s="206">
        <v>775136</v>
      </c>
      <c r="N25" s="404">
        <v>775136</v>
      </c>
      <c r="O25" s="9">
        <v>775136</v>
      </c>
      <c r="P25" s="206">
        <v>775136</v>
      </c>
      <c r="Q25" s="9">
        <v>775136</v>
      </c>
      <c r="R25" s="206">
        <v>775136</v>
      </c>
      <c r="S25" s="9">
        <v>775136</v>
      </c>
      <c r="T25" s="13">
        <v>775136</v>
      </c>
      <c r="U25" s="35">
        <v>775136</v>
      </c>
      <c r="V25" s="217">
        <v>775136</v>
      </c>
      <c r="W25" s="65">
        <v>775136</v>
      </c>
      <c r="X25" s="65">
        <v>775136</v>
      </c>
      <c r="Y25" s="206">
        <v>775136</v>
      </c>
      <c r="Z25" s="65">
        <v>775136</v>
      </c>
      <c r="AA25" s="206">
        <v>775136</v>
      </c>
      <c r="AB25" s="172">
        <v>775136</v>
      </c>
      <c r="AC25" s="172">
        <v>775136</v>
      </c>
      <c r="AD25" s="206">
        <v>775136</v>
      </c>
      <c r="AE25" s="206">
        <v>775136</v>
      </c>
      <c r="AF25" s="227">
        <v>775136</v>
      </c>
      <c r="AG25" s="228">
        <f t="shared" si="1"/>
        <v>9301632</v>
      </c>
      <c r="AH25" s="124">
        <f t="shared" si="0"/>
        <v>2.9500000178813934E-2</v>
      </c>
    </row>
    <row r="26" spans="1:48" ht="15">
      <c r="A26" s="51">
        <v>9</v>
      </c>
      <c r="B26" s="52" t="s">
        <v>34</v>
      </c>
      <c r="C26" s="148" t="s">
        <v>29</v>
      </c>
      <c r="D26" s="13">
        <f>4660998*12</f>
        <v>55931976</v>
      </c>
      <c r="E26" s="15"/>
      <c r="F26" s="14"/>
      <c r="G26" s="16"/>
      <c r="H26" s="319">
        <f t="shared" si="2"/>
        <v>55931976</v>
      </c>
      <c r="I26" s="154">
        <v>4660998</v>
      </c>
      <c r="J26" s="217">
        <v>4660998</v>
      </c>
      <c r="K26" s="217">
        <v>4660998</v>
      </c>
      <c r="L26" s="217">
        <v>4660998</v>
      </c>
      <c r="M26" s="206">
        <v>4660998</v>
      </c>
      <c r="N26" s="404">
        <v>4660998</v>
      </c>
      <c r="O26" s="9">
        <v>4660998</v>
      </c>
      <c r="P26" s="206">
        <v>4660998</v>
      </c>
      <c r="Q26" s="9">
        <v>4660998</v>
      </c>
      <c r="R26" s="206">
        <v>4660998</v>
      </c>
      <c r="S26" s="9">
        <v>4660998</v>
      </c>
      <c r="T26" s="13">
        <v>4660998</v>
      </c>
      <c r="U26" s="35">
        <v>4660998</v>
      </c>
      <c r="V26" s="217">
        <v>4660998</v>
      </c>
      <c r="W26" s="65">
        <v>4660998</v>
      </c>
      <c r="X26" s="65">
        <v>4660998</v>
      </c>
      <c r="Y26" s="206">
        <v>4660998</v>
      </c>
      <c r="Z26" s="65">
        <v>4660998</v>
      </c>
      <c r="AA26" s="206">
        <v>4660998</v>
      </c>
      <c r="AB26" s="172">
        <v>4660998</v>
      </c>
      <c r="AC26" s="172">
        <v>4660998</v>
      </c>
      <c r="AD26" s="206">
        <v>4660998</v>
      </c>
      <c r="AE26" s="206">
        <v>4660998</v>
      </c>
      <c r="AF26" s="227">
        <v>4660998</v>
      </c>
      <c r="AG26" s="228">
        <f t="shared" si="1"/>
        <v>55931976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53085576</v>
      </c>
      <c r="I27" s="154"/>
      <c r="J27" s="217"/>
      <c r="K27" s="217"/>
      <c r="L27" s="217"/>
      <c r="M27" s="206"/>
      <c r="N27" s="404"/>
      <c r="O27" s="9">
        <v>53085576</v>
      </c>
      <c r="P27" s="206"/>
      <c r="Q27" s="9"/>
      <c r="R27" s="206"/>
      <c r="S27" s="9"/>
      <c r="T27" s="13"/>
      <c r="U27" s="35"/>
      <c r="V27" s="217"/>
      <c r="W27" s="65"/>
      <c r="X27" s="65"/>
      <c r="Y27" s="206"/>
      <c r="Z27" s="65"/>
      <c r="AA27" s="9">
        <v>53085576</v>
      </c>
      <c r="AB27" s="172"/>
      <c r="AC27" s="172"/>
      <c r="AD27" s="206"/>
      <c r="AE27" s="206"/>
      <c r="AF27" s="227"/>
      <c r="AG27" s="228">
        <f t="shared" si="1"/>
        <v>53085576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51786378</v>
      </c>
      <c r="I28" s="154"/>
      <c r="J28" s="217"/>
      <c r="K28" s="217"/>
      <c r="L28" s="217"/>
      <c r="M28" s="206"/>
      <c r="N28" s="404"/>
      <c r="O28" s="9">
        <v>51786378</v>
      </c>
      <c r="P28" s="206"/>
      <c r="Q28" s="9"/>
      <c r="R28" s="206"/>
      <c r="S28" s="9"/>
      <c r="T28" s="13"/>
      <c r="U28" s="35"/>
      <c r="V28" s="217"/>
      <c r="W28" s="65"/>
      <c r="X28" s="65"/>
      <c r="Y28" s="206"/>
      <c r="Z28" s="65"/>
      <c r="AA28" s="9">
        <v>51786378</v>
      </c>
      <c r="AB28" s="172"/>
      <c r="AC28" s="172"/>
      <c r="AD28" s="206"/>
      <c r="AE28" s="206"/>
      <c r="AF28" s="227"/>
      <c r="AG28" s="228">
        <f t="shared" si="1"/>
        <v>51786378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19">
        <f t="shared" si="2"/>
        <v>13598838.343265539</v>
      </c>
      <c r="I29" s="154"/>
      <c r="J29" s="217"/>
      <c r="K29" s="217"/>
      <c r="L29" s="217"/>
      <c r="M29" s="206"/>
      <c r="N29" s="404"/>
      <c r="O29" s="9"/>
      <c r="P29" s="206"/>
      <c r="Q29" s="9"/>
      <c r="R29" s="206"/>
      <c r="S29" s="9">
        <v>13598838.343265539</v>
      </c>
      <c r="T29" s="13"/>
      <c r="U29" s="35"/>
      <c r="V29" s="217"/>
      <c r="W29" s="65"/>
      <c r="X29" s="65"/>
      <c r="Y29" s="206"/>
      <c r="Z29" s="65"/>
      <c r="AA29" s="9"/>
      <c r="AB29" s="172"/>
      <c r="AC29" s="172"/>
      <c r="AD29" s="206"/>
      <c r="AE29" s="206">
        <v>13598838.343265539</v>
      </c>
      <c r="AF29" s="227"/>
      <c r="AG29" s="228">
        <f>SUM(U29:AF29)</f>
        <v>13598838.343265539</v>
      </c>
      <c r="AH29" s="124">
        <f>+H29-AG29</f>
        <v>0</v>
      </c>
    </row>
    <row r="30" spans="1:48" ht="15.75" thickBot="1">
      <c r="A30" s="743" t="s">
        <v>36</v>
      </c>
      <c r="B30" s="744"/>
      <c r="C30" s="65">
        <v>8740339</v>
      </c>
      <c r="D30" s="90">
        <f>SUM(D16:D26)</f>
        <v>2853807552</v>
      </c>
      <c r="E30" s="91"/>
      <c r="F30" s="92"/>
      <c r="G30" s="93"/>
      <c r="H30" s="320">
        <f t="shared" ref="H30:AF30" si="3">SUM(H16:H28)</f>
        <v>3219753321.4575</v>
      </c>
      <c r="I30" s="311">
        <f t="shared" si="3"/>
        <v>238011105</v>
      </c>
      <c r="J30" s="311">
        <f t="shared" si="3"/>
        <v>238015000</v>
      </c>
      <c r="K30" s="311">
        <f t="shared" si="3"/>
        <v>238028966.86950001</v>
      </c>
      <c r="L30" s="311">
        <f t="shared" si="3"/>
        <v>303396917</v>
      </c>
      <c r="M30" s="311">
        <f t="shared" si="3"/>
        <v>238028967</v>
      </c>
      <c r="N30" s="311">
        <f t="shared" si="3"/>
        <v>303061239</v>
      </c>
      <c r="O30" s="311">
        <f t="shared" si="3"/>
        <v>342900921</v>
      </c>
      <c r="P30" s="363">
        <f t="shared" si="3"/>
        <v>237291668</v>
      </c>
      <c r="Q30" s="311">
        <f t="shared" si="3"/>
        <v>302642554</v>
      </c>
      <c r="R30" s="311">
        <f t="shared" si="3"/>
        <v>237291668</v>
      </c>
      <c r="S30" s="311">
        <f t="shared" si="3"/>
        <v>237291668</v>
      </c>
      <c r="T30" s="311">
        <f t="shared" si="3"/>
        <v>303792647.588</v>
      </c>
      <c r="U30" s="111">
        <f t="shared" si="3"/>
        <v>237817296</v>
      </c>
      <c r="V30" s="211">
        <f t="shared" si="3"/>
        <v>237842167</v>
      </c>
      <c r="W30" s="211">
        <f t="shared" si="3"/>
        <v>237488576</v>
      </c>
      <c r="X30" s="211">
        <f t="shared" si="3"/>
        <v>304303950</v>
      </c>
      <c r="Y30" s="211">
        <f t="shared" si="3"/>
        <v>238028967</v>
      </c>
      <c r="Z30" s="211">
        <f t="shared" si="3"/>
        <v>303061239</v>
      </c>
      <c r="AA30" s="211">
        <f t="shared" si="3"/>
        <v>342900921</v>
      </c>
      <c r="AB30" s="518">
        <f t="shared" si="3"/>
        <v>237291668</v>
      </c>
      <c r="AC30" s="518">
        <f t="shared" si="3"/>
        <v>302642554</v>
      </c>
      <c r="AD30" s="211">
        <f t="shared" si="3"/>
        <v>237291668</v>
      </c>
      <c r="AE30" s="211">
        <f t="shared" si="3"/>
        <v>237291668</v>
      </c>
      <c r="AF30" s="211">
        <f t="shared" si="3"/>
        <v>303792647.588</v>
      </c>
      <c r="AG30" s="340">
        <f>SUM(U30:AF30)</f>
        <v>3219753321.5879998</v>
      </c>
      <c r="AH30" s="119">
        <f t="shared" si="0"/>
        <v>-0.13049983978271484</v>
      </c>
    </row>
    <row r="31" spans="1:48" ht="15" thickBot="1">
      <c r="C31" s="65">
        <f>+R38+R39</f>
        <v>24673992.100000009</v>
      </c>
      <c r="D31" s="149">
        <v>1</v>
      </c>
      <c r="E31" s="5">
        <v>0.7</v>
      </c>
      <c r="F31" s="5">
        <v>0.3</v>
      </c>
      <c r="G31" s="410">
        <v>8.3333333333333329E-2</v>
      </c>
      <c r="H31" s="149">
        <f>+D31/3</f>
        <v>0.33333333333333331</v>
      </c>
      <c r="AS31" s="212">
        <v>480000</v>
      </c>
      <c r="AT31" s="212">
        <v>600000</v>
      </c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2" t="s">
        <v>38</v>
      </c>
      <c r="I32" s="713"/>
      <c r="J32" s="713"/>
      <c r="K32" s="713"/>
      <c r="L32" s="713"/>
      <c r="M32" s="713"/>
      <c r="N32" s="712"/>
      <c r="O32" s="713"/>
      <c r="P32" s="713"/>
      <c r="Q32" s="713"/>
      <c r="R32" s="713"/>
      <c r="S32" s="713"/>
      <c r="T32" s="714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I32" s="675">
        <v>24673992.099999998</v>
      </c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4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28" t="s">
        <v>12</v>
      </c>
      <c r="J33" s="288" t="s">
        <v>13</v>
      </c>
      <c r="K33" s="161" t="s">
        <v>14</v>
      </c>
      <c r="L33" s="161" t="s">
        <v>15</v>
      </c>
      <c r="M33" s="288" t="s">
        <v>16</v>
      </c>
      <c r="N33" s="161" t="s">
        <v>17</v>
      </c>
      <c r="O33" s="161" t="s">
        <v>18</v>
      </c>
      <c r="P33" s="288" t="s">
        <v>19</v>
      </c>
      <c r="Q33" s="161" t="s">
        <v>20</v>
      </c>
      <c r="R33" s="161" t="s">
        <v>21</v>
      </c>
      <c r="S33" s="161" t="s">
        <v>22</v>
      </c>
      <c r="T33" s="162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08" t="s">
        <v>23</v>
      </c>
      <c r="AG33" s="216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4" ht="15.75" thickBot="1">
      <c r="A34" s="573">
        <v>1</v>
      </c>
      <c r="B34" s="608" t="s">
        <v>99</v>
      </c>
      <c r="C34" s="615">
        <v>1357</v>
      </c>
      <c r="D34" s="610">
        <v>629064</v>
      </c>
      <c r="E34" s="611">
        <f>+D34*$E$31</f>
        <v>440344.8</v>
      </c>
      <c r="F34" s="612">
        <f>+D34*$F$31</f>
        <v>188719.19999999998</v>
      </c>
      <c r="G34" s="613"/>
      <c r="H34" s="327">
        <f>SUM(I34:T34)</f>
        <v>629064</v>
      </c>
      <c r="I34" s="268"/>
      <c r="J34" s="220"/>
      <c r="K34" s="39">
        <v>440344.8</v>
      </c>
      <c r="L34" s="39"/>
      <c r="M34" s="209"/>
      <c r="N34" s="405"/>
      <c r="O34" s="39"/>
      <c r="P34" s="209"/>
      <c r="Q34" s="39"/>
      <c r="R34" s="39">
        <v>188719.19999999998</v>
      </c>
      <c r="S34" s="39"/>
      <c r="T34" s="40"/>
      <c r="U34" s="38"/>
      <c r="V34" s="220"/>
      <c r="W34" s="209">
        <v>440344.8</v>
      </c>
      <c r="X34" s="209"/>
      <c r="Y34" s="209"/>
      <c r="Z34" s="209"/>
      <c r="AA34" s="209"/>
      <c r="AB34" s="517"/>
      <c r="AC34" s="517"/>
      <c r="AD34" s="209">
        <v>188719.19999999998</v>
      </c>
      <c r="AE34" s="209"/>
      <c r="AF34" s="209"/>
      <c r="AG34" s="218">
        <f>SUM(U34:AF34)</f>
        <v>629064</v>
      </c>
      <c r="AH34" s="123">
        <f t="shared" ref="AH34:AH67" si="4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>
        <v>10364.038960867789</v>
      </c>
      <c r="AT34" s="209">
        <v>12955.048701084737</v>
      </c>
      <c r="AU34" s="209">
        <v>12955.048701084737</v>
      </c>
      <c r="AV34" s="225">
        <v>12955.048701084737</v>
      </c>
      <c r="AW34" s="226">
        <f>SUM(AK34:AV34)</f>
        <v>49229.185064122001</v>
      </c>
      <c r="AX34" s="123">
        <f>+AG34-AW34</f>
        <v>579834.81493587804</v>
      </c>
      <c r="AY34" s="170">
        <f>+AX34+AX35</f>
        <v>26854464</v>
      </c>
      <c r="AZ34" s="149">
        <v>1</v>
      </c>
    </row>
    <row r="35" spans="1:54" ht="15">
      <c r="A35" s="573">
        <v>2</v>
      </c>
      <c r="B35" s="608" t="s">
        <v>100</v>
      </c>
      <c r="C35" s="615">
        <v>1357</v>
      </c>
      <c r="D35" s="610">
        <v>28505400</v>
      </c>
      <c r="E35" s="583">
        <f>+D35*$E$31</f>
        <v>19953780</v>
      </c>
      <c r="F35" s="584">
        <f>+D35*$F$31</f>
        <v>8551620</v>
      </c>
      <c r="G35" s="614"/>
      <c r="H35" s="319">
        <f>SUM(I35:T35)</f>
        <v>28505400</v>
      </c>
      <c r="I35" s="154"/>
      <c r="J35" s="217"/>
      <c r="K35" s="9">
        <v>19953780</v>
      </c>
      <c r="L35" s="9"/>
      <c r="M35" s="206"/>
      <c r="N35" s="404"/>
      <c r="O35" s="9"/>
      <c r="P35" s="206"/>
      <c r="Q35" s="9"/>
      <c r="R35" s="9">
        <v>8551620</v>
      </c>
      <c r="S35" s="9"/>
      <c r="T35" s="12"/>
      <c r="U35" s="144"/>
      <c r="V35" s="217"/>
      <c r="W35" s="212">
        <v>19953780</v>
      </c>
      <c r="X35" s="212"/>
      <c r="Y35" s="212"/>
      <c r="Z35" s="212"/>
      <c r="AA35" s="212"/>
      <c r="AB35" s="519"/>
      <c r="AC35" s="519"/>
      <c r="AD35" s="212">
        <v>8551620</v>
      </c>
      <c r="AE35" s="212"/>
      <c r="AF35" s="212"/>
      <c r="AG35" s="218">
        <f>SUM(U35:AF35)</f>
        <v>28505400</v>
      </c>
      <c r="AH35" s="123">
        <f t="shared" si="4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>
        <v>469635.96103913221</v>
      </c>
      <c r="AT35" s="212">
        <v>587044.95129891532</v>
      </c>
      <c r="AU35" s="212">
        <v>587044.95129891532</v>
      </c>
      <c r="AV35" s="248">
        <v>587044.95129891532</v>
      </c>
      <c r="AW35" s="226">
        <f>SUM(AK35:AV35)</f>
        <v>2230770.8149358779</v>
      </c>
      <c r="AX35" s="431">
        <f t="shared" ref="AX35:AX77" si="5">+AG35-AW35</f>
        <v>26274629.185064122</v>
      </c>
      <c r="AZ35" s="149">
        <f>+(AX34*AZ34)/AY34</f>
        <v>2.1591747835141228E-2</v>
      </c>
      <c r="BA35" s="207">
        <f>+AT31*AZ35</f>
        <v>12955.048701084737</v>
      </c>
    </row>
    <row r="36" spans="1:54" ht="15">
      <c r="A36" s="18">
        <v>3</v>
      </c>
      <c r="B36" s="7" t="s">
        <v>74</v>
      </c>
      <c r="C36" s="147"/>
      <c r="D36" s="13"/>
      <c r="E36" s="142"/>
      <c r="F36" s="143"/>
      <c r="G36" s="160"/>
      <c r="H36" s="319">
        <f t="shared" ref="H36:H82" si="6">SUM(I36:T36)</f>
        <v>0</v>
      </c>
      <c r="I36" s="154"/>
      <c r="J36" s="217"/>
      <c r="K36" s="9"/>
      <c r="L36" s="9"/>
      <c r="M36" s="206"/>
      <c r="N36" s="404"/>
      <c r="O36" s="9"/>
      <c r="P36" s="206"/>
      <c r="Q36" s="9"/>
      <c r="R36" s="9"/>
      <c r="S36" s="9"/>
      <c r="T36" s="12"/>
      <c r="U36" s="35"/>
      <c r="V36" s="217"/>
      <c r="W36" s="206"/>
      <c r="X36" s="206"/>
      <c r="Y36" s="206"/>
      <c r="Z36" s="206"/>
      <c r="AA36" s="206"/>
      <c r="AB36" s="172"/>
      <c r="AC36" s="172"/>
      <c r="AD36" s="206"/>
      <c r="AE36" s="206"/>
      <c r="AF36" s="206"/>
      <c r="AG36" s="219">
        <f>SUM(U36:AF36)</f>
        <v>0</v>
      </c>
      <c r="AH36" s="124">
        <f t="shared" si="4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1">
        <f t="shared" si="5"/>
        <v>0</v>
      </c>
      <c r="AZ36" s="149">
        <f>+(AX35*AZ34)/AY34</f>
        <v>0.97840825216485883</v>
      </c>
      <c r="BA36" s="207">
        <f>+AT31*AZ36</f>
        <v>587044.95129891532</v>
      </c>
    </row>
    <row r="37" spans="1:54" ht="15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6"/>
        <v>0</v>
      </c>
      <c r="I37" s="154"/>
      <c r="J37" s="217"/>
      <c r="K37" s="9"/>
      <c r="L37" s="9"/>
      <c r="M37" s="206"/>
      <c r="N37" s="404"/>
      <c r="O37" s="9"/>
      <c r="P37" s="206"/>
      <c r="Q37" s="9"/>
      <c r="R37" s="9"/>
      <c r="S37" s="9"/>
      <c r="T37" s="12"/>
      <c r="U37" s="35"/>
      <c r="V37" s="217"/>
      <c r="W37" s="206"/>
      <c r="X37" s="206"/>
      <c r="Y37" s="206"/>
      <c r="Z37" s="206"/>
      <c r="AA37" s="206"/>
      <c r="AB37" s="172"/>
      <c r="AC37" s="172"/>
      <c r="AD37" s="206"/>
      <c r="AE37" s="206"/>
      <c r="AF37" s="206"/>
      <c r="AG37" s="219">
        <f>SUM(U37:AF37)</f>
        <v>0</v>
      </c>
      <c r="AH37" s="124">
        <f t="shared" si="4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1">
        <f t="shared" si="5"/>
        <v>0</v>
      </c>
    </row>
    <row r="38" spans="1:54" ht="15">
      <c r="A38" s="573">
        <v>5</v>
      </c>
      <c r="B38" s="575" t="s">
        <v>101</v>
      </c>
      <c r="C38" s="576">
        <v>1589</v>
      </c>
      <c r="D38" s="577">
        <v>99049207</v>
      </c>
      <c r="E38" s="578">
        <f>+D38*E31</f>
        <v>69334444.899999991</v>
      </c>
      <c r="F38" s="579">
        <f>+D38*F31</f>
        <v>29714762.099999998</v>
      </c>
      <c r="G38" s="580"/>
      <c r="H38" s="319">
        <f t="shared" si="6"/>
        <v>99049207</v>
      </c>
      <c r="I38" s="154"/>
      <c r="J38" s="217"/>
      <c r="K38" s="9">
        <v>74915754.899999991</v>
      </c>
      <c r="L38" s="9"/>
      <c r="M38" s="206"/>
      <c r="N38" s="404"/>
      <c r="O38" s="9"/>
      <c r="P38" s="206"/>
      <c r="Q38" s="9"/>
      <c r="R38" s="9">
        <v>24133452.100000009</v>
      </c>
      <c r="S38" s="9"/>
      <c r="T38" s="12"/>
      <c r="U38" s="35"/>
      <c r="V38" s="217"/>
      <c r="W38" s="206">
        <v>74915754.899999991</v>
      </c>
      <c r="X38" s="206"/>
      <c r="Y38" s="206"/>
      <c r="Z38" s="206"/>
      <c r="AA38" s="206"/>
      <c r="AB38" s="172"/>
      <c r="AC38" s="172"/>
      <c r="AD38" s="206"/>
      <c r="AE38" s="206">
        <v>24133452.100000009</v>
      </c>
      <c r="AF38" s="206"/>
      <c r="AG38" s="219">
        <f>SUM(U38:AF38)</f>
        <v>99049207</v>
      </c>
      <c r="AH38" s="124">
        <f t="shared" si="4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>
        <v>4907185.5912511013</v>
      </c>
      <c r="AW38" s="228">
        <f>SUM(AK38:AV38)</f>
        <v>4907185.5912511013</v>
      </c>
      <c r="AX38" s="431">
        <f t="shared" si="5"/>
        <v>94142021.408748895</v>
      </c>
      <c r="AY38" s="170">
        <f>+AX38+AX39</f>
        <v>95854555</v>
      </c>
      <c r="AZ38" s="6">
        <v>4996452</v>
      </c>
      <c r="BA38" s="149">
        <f>+(AX38*AZ34)/AY38</f>
        <v>0.98213404056540554</v>
      </c>
      <c r="BB38" s="6">
        <f>+AZ38*BA38</f>
        <v>4907185.5912511013</v>
      </c>
    </row>
    <row r="39" spans="1:54" ht="15">
      <c r="A39" s="573">
        <v>6</v>
      </c>
      <c r="B39" s="575" t="s">
        <v>102</v>
      </c>
      <c r="C39" s="576">
        <v>1589</v>
      </c>
      <c r="D39" s="577">
        <v>1801800</v>
      </c>
      <c r="E39" s="578">
        <f>+D39*E31</f>
        <v>1261260</v>
      </c>
      <c r="F39" s="579">
        <f>+D39*F31</f>
        <v>540540</v>
      </c>
      <c r="G39" s="580"/>
      <c r="H39" s="319">
        <f t="shared" si="6"/>
        <v>1801800</v>
      </c>
      <c r="I39" s="154"/>
      <c r="J39" s="217"/>
      <c r="K39" s="9">
        <v>1261260</v>
      </c>
      <c r="L39" s="9"/>
      <c r="M39" s="206"/>
      <c r="N39" s="404"/>
      <c r="O39" s="9"/>
      <c r="P39" s="206"/>
      <c r="Q39" s="9"/>
      <c r="R39" s="9">
        <v>540540</v>
      </c>
      <c r="S39" s="9"/>
      <c r="T39" s="12"/>
      <c r="U39" s="35"/>
      <c r="V39" s="217"/>
      <c r="W39" s="206">
        <v>1261260</v>
      </c>
      <c r="X39" s="206"/>
      <c r="Y39" s="206"/>
      <c r="Z39" s="206"/>
      <c r="AA39" s="206"/>
      <c r="AB39" s="172"/>
      <c r="AC39" s="172"/>
      <c r="AD39" s="206"/>
      <c r="AE39" s="206">
        <v>540540</v>
      </c>
      <c r="AF39" s="206"/>
      <c r="AG39" s="219">
        <f t="shared" ref="AG39:AG67" si="7">SUM(U39:AF39)</f>
        <v>1801800</v>
      </c>
      <c r="AH39" s="124">
        <f t="shared" si="4"/>
        <v>0</v>
      </c>
      <c r="AI39" s="170">
        <f>+AH38+AH39</f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>
        <v>89266.408748898262</v>
      </c>
      <c r="AW39" s="228">
        <f t="shared" ref="AW39:AW45" si="8">SUM(AK39:AV39)</f>
        <v>89266.408748898262</v>
      </c>
      <c r="AX39" s="431">
        <f t="shared" si="5"/>
        <v>1712533.5912511018</v>
      </c>
      <c r="BA39" s="149">
        <f>+(AX39*AZ34)/AY38</f>
        <v>1.7865959434594441E-2</v>
      </c>
      <c r="BB39" s="6">
        <f>+AZ38*BA39</f>
        <v>89266.408748898262</v>
      </c>
    </row>
    <row r="40" spans="1:54" ht="15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6"/>
        <v>0</v>
      </c>
      <c r="I40" s="154"/>
      <c r="J40" s="217"/>
      <c r="K40" s="9"/>
      <c r="L40" s="9"/>
      <c r="M40" s="206"/>
      <c r="N40" s="404"/>
      <c r="O40" s="9"/>
      <c r="P40" s="206"/>
      <c r="Q40" s="9"/>
      <c r="R40" s="9"/>
      <c r="S40" s="9"/>
      <c r="T40" s="12"/>
      <c r="U40" s="35"/>
      <c r="V40" s="217"/>
      <c r="W40" s="206"/>
      <c r="X40" s="206"/>
      <c r="Y40" s="206"/>
      <c r="Z40" s="206"/>
      <c r="AA40" s="206"/>
      <c r="AB40" s="172"/>
      <c r="AC40" s="172"/>
      <c r="AD40" s="206"/>
      <c r="AE40" s="206"/>
      <c r="AF40" s="206"/>
      <c r="AG40" s="219">
        <f t="shared" si="7"/>
        <v>0</v>
      </c>
      <c r="AH40" s="124">
        <f t="shared" si="4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8"/>
        <v>0</v>
      </c>
      <c r="AX40" s="431">
        <f t="shared" si="5"/>
        <v>0</v>
      </c>
    </row>
    <row r="41" spans="1:54" ht="15">
      <c r="A41" s="573">
        <v>8</v>
      </c>
      <c r="B41" s="575" t="s">
        <v>76</v>
      </c>
      <c r="C41" s="576">
        <v>1613</v>
      </c>
      <c r="D41" s="577">
        <v>30491110</v>
      </c>
      <c r="E41" s="578">
        <f>+D41*E31</f>
        <v>21343777</v>
      </c>
      <c r="F41" s="579">
        <f>+D41*F31</f>
        <v>9147333</v>
      </c>
      <c r="G41" s="580"/>
      <c r="H41" s="319">
        <f t="shared" si="6"/>
        <v>30491110</v>
      </c>
      <c r="I41" s="154"/>
      <c r="J41" s="217"/>
      <c r="K41" s="9">
        <v>21343777</v>
      </c>
      <c r="L41" s="9"/>
      <c r="M41" s="206"/>
      <c r="N41" s="404"/>
      <c r="O41" s="9"/>
      <c r="P41" s="206"/>
      <c r="Q41" s="9"/>
      <c r="R41" s="9">
        <v>9147333</v>
      </c>
      <c r="S41" s="9"/>
      <c r="T41" s="12"/>
      <c r="U41" s="35"/>
      <c r="V41" s="217"/>
      <c r="W41" s="206">
        <v>21343777</v>
      </c>
      <c r="X41" s="206"/>
      <c r="Y41" s="206"/>
      <c r="Z41" s="206"/>
      <c r="AA41" s="206"/>
      <c r="AB41" s="172"/>
      <c r="AC41" s="172"/>
      <c r="AD41" s="206">
        <v>9147333</v>
      </c>
      <c r="AE41" s="206"/>
      <c r="AF41" s="206"/>
      <c r="AG41" s="219">
        <f t="shared" si="7"/>
        <v>30491110</v>
      </c>
      <c r="AH41" s="124">
        <f t="shared" si="4"/>
        <v>0</v>
      </c>
      <c r="AK41" s="235">
        <v>0</v>
      </c>
      <c r="AL41" s="217">
        <v>0</v>
      </c>
      <c r="AM41" s="206">
        <v>0</v>
      </c>
      <c r="AN41" s="206">
        <v>0</v>
      </c>
      <c r="AO41" s="206">
        <v>0</v>
      </c>
      <c r="AP41" s="206">
        <v>2258970</v>
      </c>
      <c r="AQ41" s="206">
        <v>2258970</v>
      </c>
      <c r="AR41" s="206">
        <v>2258970</v>
      </c>
      <c r="AS41" s="206">
        <v>2258970</v>
      </c>
      <c r="AT41" s="206">
        <v>2258970</v>
      </c>
      <c r="AU41" s="206">
        <v>2258970</v>
      </c>
      <c r="AV41" s="227">
        <v>2599310</v>
      </c>
      <c r="AW41" s="228">
        <f t="shared" si="8"/>
        <v>16153130</v>
      </c>
      <c r="AX41" s="431">
        <f t="shared" si="5"/>
        <v>14337980</v>
      </c>
    </row>
    <row r="42" spans="1:54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6"/>
        <v>0</v>
      </c>
      <c r="I42" s="154"/>
      <c r="J42" s="217"/>
      <c r="K42" s="9"/>
      <c r="L42" s="9"/>
      <c r="M42" s="206"/>
      <c r="N42" s="404"/>
      <c r="O42" s="9"/>
      <c r="P42" s="206"/>
      <c r="Q42" s="9"/>
      <c r="R42" s="9"/>
      <c r="S42" s="9"/>
      <c r="T42" s="12"/>
      <c r="U42" s="35"/>
      <c r="V42" s="217"/>
      <c r="W42" s="206"/>
      <c r="X42" s="206"/>
      <c r="Y42" s="206"/>
      <c r="Z42" s="206"/>
      <c r="AA42" s="206"/>
      <c r="AB42" s="172"/>
      <c r="AC42" s="172"/>
      <c r="AD42" s="206"/>
      <c r="AE42" s="206"/>
      <c r="AF42" s="206"/>
      <c r="AG42" s="219">
        <f t="shared" si="7"/>
        <v>0</v>
      </c>
      <c r="AH42" s="124">
        <f t="shared" si="4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8"/>
        <v>0</v>
      </c>
      <c r="AX42" s="431">
        <f t="shared" si="5"/>
        <v>0</v>
      </c>
    </row>
    <row r="43" spans="1:54" ht="15">
      <c r="A43" s="573">
        <v>10</v>
      </c>
      <c r="B43" s="575" t="s">
        <v>104</v>
      </c>
      <c r="C43" s="576">
        <v>1493</v>
      </c>
      <c r="D43" s="577">
        <v>30375467</v>
      </c>
      <c r="E43" s="578">
        <f>+D43*E31</f>
        <v>21262826.899999999</v>
      </c>
      <c r="F43" s="579">
        <f>+D43*F31</f>
        <v>9112640.0999999996</v>
      </c>
      <c r="G43" s="580"/>
      <c r="H43" s="319">
        <f t="shared" si="6"/>
        <v>30375466.899999999</v>
      </c>
      <c r="I43" s="154"/>
      <c r="J43" s="217"/>
      <c r="K43" s="9">
        <v>21262826.899999999</v>
      </c>
      <c r="L43" s="9"/>
      <c r="M43" s="206"/>
      <c r="N43" s="404"/>
      <c r="O43" s="9"/>
      <c r="P43" s="206"/>
      <c r="Q43" s="9"/>
      <c r="R43" s="9">
        <v>9112640</v>
      </c>
      <c r="S43" s="9"/>
      <c r="T43" s="12"/>
      <c r="U43" s="35"/>
      <c r="V43" s="217"/>
      <c r="W43" s="206">
        <v>21262827</v>
      </c>
      <c r="X43" s="206"/>
      <c r="Y43" s="206"/>
      <c r="Z43" s="206"/>
      <c r="AA43" s="206"/>
      <c r="AB43" s="172"/>
      <c r="AC43" s="172"/>
      <c r="AD43" s="206">
        <v>9112640</v>
      </c>
      <c r="AE43" s="206"/>
      <c r="AF43" s="206"/>
      <c r="AG43" s="219">
        <f t="shared" si="7"/>
        <v>30375467</v>
      </c>
      <c r="AH43" s="124">
        <f t="shared" si="4"/>
        <v>-0.10000000149011612</v>
      </c>
      <c r="AK43" s="235">
        <v>0</v>
      </c>
      <c r="AL43" s="217">
        <v>0</v>
      </c>
      <c r="AM43" s="206">
        <v>0</v>
      </c>
      <c r="AN43" s="206">
        <v>0</v>
      </c>
      <c r="AO43" s="206">
        <v>0</v>
      </c>
      <c r="AP43" s="206">
        <v>2243270</v>
      </c>
      <c r="AQ43" s="206">
        <v>2243270</v>
      </c>
      <c r="AR43" s="206">
        <v>2243270</v>
      </c>
      <c r="AS43" s="206">
        <v>2243270</v>
      </c>
      <c r="AT43" s="206">
        <v>2243270</v>
      </c>
      <c r="AU43" s="206">
        <v>2831101</v>
      </c>
      <c r="AV43" s="227">
        <v>3021600</v>
      </c>
      <c r="AW43" s="228">
        <f t="shared" si="8"/>
        <v>17069051</v>
      </c>
      <c r="AX43" s="431">
        <f t="shared" si="5"/>
        <v>13306416</v>
      </c>
    </row>
    <row r="44" spans="1:54" ht="15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6"/>
        <v>0</v>
      </c>
      <c r="I44" s="154"/>
      <c r="J44" s="206"/>
      <c r="K44" s="9"/>
      <c r="L44" s="9"/>
      <c r="M44" s="206"/>
      <c r="N44" s="404"/>
      <c r="O44" s="9"/>
      <c r="P44" s="206"/>
      <c r="Q44" s="9"/>
      <c r="R44" s="9"/>
      <c r="S44" s="9"/>
      <c r="T44" s="12"/>
      <c r="U44" s="35"/>
      <c r="V44" s="217"/>
      <c r="W44" s="206"/>
      <c r="X44" s="206"/>
      <c r="Y44" s="206"/>
      <c r="Z44" s="206"/>
      <c r="AA44" s="206"/>
      <c r="AB44" s="172"/>
      <c r="AC44" s="172"/>
      <c r="AD44" s="206"/>
      <c r="AE44" s="206"/>
      <c r="AF44" s="206"/>
      <c r="AG44" s="219">
        <f t="shared" si="7"/>
        <v>0</v>
      </c>
      <c r="AH44" s="124">
        <f t="shared" si="4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8"/>
        <v>0</v>
      </c>
      <c r="AX44" s="431">
        <f t="shared" si="5"/>
        <v>0</v>
      </c>
    </row>
    <row r="45" spans="1:54" ht="15">
      <c r="A45" s="573">
        <v>12</v>
      </c>
      <c r="B45" s="619" t="s">
        <v>79</v>
      </c>
      <c r="C45" s="576">
        <v>1449</v>
      </c>
      <c r="D45" s="577">
        <v>21004121</v>
      </c>
      <c r="E45" s="578">
        <f>+D45*E31</f>
        <v>14702884.699999999</v>
      </c>
      <c r="F45" s="579">
        <f>+D45*F31</f>
        <v>6301236.2999999998</v>
      </c>
      <c r="G45" s="580"/>
      <c r="H45" s="319">
        <f t="shared" si="6"/>
        <v>21004120.699999999</v>
      </c>
      <c r="I45" s="154"/>
      <c r="J45" s="206"/>
      <c r="K45" s="9">
        <v>14702884.699999999</v>
      </c>
      <c r="L45" s="9"/>
      <c r="M45" s="206"/>
      <c r="N45" s="404"/>
      <c r="O45" s="9"/>
      <c r="P45" s="206"/>
      <c r="Q45" s="9"/>
      <c r="R45" s="9">
        <v>6301236</v>
      </c>
      <c r="S45" s="9"/>
      <c r="T45" s="12"/>
      <c r="U45" s="35"/>
      <c r="V45" s="217"/>
      <c r="W45" s="206">
        <v>14702885</v>
      </c>
      <c r="X45" s="206"/>
      <c r="Y45" s="206"/>
      <c r="Z45" s="206"/>
      <c r="AA45" s="206"/>
      <c r="AB45" s="172"/>
      <c r="AC45" s="172"/>
      <c r="AD45" s="206">
        <v>6301236</v>
      </c>
      <c r="AE45" s="206"/>
      <c r="AF45" s="206"/>
      <c r="AG45" s="219">
        <f t="shared" si="7"/>
        <v>21004121</v>
      </c>
      <c r="AH45" s="124">
        <f t="shared" si="4"/>
        <v>-0.30000000074505806</v>
      </c>
      <c r="AK45" s="235"/>
      <c r="AL45" s="217"/>
      <c r="AM45" s="206"/>
      <c r="AN45" s="206"/>
      <c r="AO45" s="206"/>
      <c r="AP45" s="206"/>
      <c r="AQ45" s="206"/>
      <c r="AR45" s="206"/>
      <c r="AS45" s="206"/>
      <c r="AT45" s="206"/>
      <c r="AU45" s="206"/>
      <c r="AV45" s="227"/>
      <c r="AW45" s="228">
        <f t="shared" si="8"/>
        <v>0</v>
      </c>
      <c r="AX45" s="431">
        <f t="shared" si="5"/>
        <v>21004121</v>
      </c>
    </row>
    <row r="46" spans="1:54" ht="15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6"/>
        <v>0</v>
      </c>
      <c r="I46" s="154"/>
      <c r="J46" s="206"/>
      <c r="K46" s="9"/>
      <c r="L46" s="9"/>
      <c r="M46" s="206"/>
      <c r="N46" s="404"/>
      <c r="O46" s="9"/>
      <c r="P46" s="206"/>
      <c r="Q46" s="9"/>
      <c r="R46" s="9"/>
      <c r="S46" s="9"/>
      <c r="T46" s="12"/>
      <c r="U46" s="42">
        <f>SUM(U34:U45)</f>
        <v>0</v>
      </c>
      <c r="V46" s="213">
        <f>SUM(V34:V45)</f>
        <v>0</v>
      </c>
      <c r="W46" s="213"/>
      <c r="X46" s="213">
        <f>SUM(X34:X45)</f>
        <v>0</v>
      </c>
      <c r="Y46" s="213">
        <f>SUM(Y34:Y45)</f>
        <v>0</v>
      </c>
      <c r="Z46" s="213"/>
      <c r="AA46" s="213"/>
      <c r="AB46" s="520"/>
      <c r="AC46" s="520"/>
      <c r="AD46" s="213"/>
      <c r="AE46" s="213"/>
      <c r="AF46" s="213"/>
      <c r="AG46" s="219">
        <f>SUM(U46:AF46)</f>
        <v>0</v>
      </c>
      <c r="AH46" s="124">
        <f t="shared" si="4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5"/>
        <v>0</v>
      </c>
    </row>
    <row r="47" spans="1:54" ht="15">
      <c r="A47" s="573">
        <v>14</v>
      </c>
      <c r="B47" s="575" t="s">
        <v>81</v>
      </c>
      <c r="C47" s="576">
        <v>1909</v>
      </c>
      <c r="D47" s="577">
        <v>37989060</v>
      </c>
      <c r="E47" s="578">
        <f>+D47*E31</f>
        <v>26592342</v>
      </c>
      <c r="F47" s="579">
        <f>+D47*F31</f>
        <v>11396718</v>
      </c>
      <c r="G47" s="580"/>
      <c r="H47" s="319">
        <f t="shared" si="6"/>
        <v>37989060</v>
      </c>
      <c r="I47" s="154"/>
      <c r="J47" s="206"/>
      <c r="K47" s="9">
        <v>26592342</v>
      </c>
      <c r="L47" s="9"/>
      <c r="M47" s="206"/>
      <c r="N47" s="404"/>
      <c r="O47" s="9"/>
      <c r="P47" s="206"/>
      <c r="Q47" s="9"/>
      <c r="R47" s="9">
        <v>11396718</v>
      </c>
      <c r="S47" s="9"/>
      <c r="T47" s="12"/>
      <c r="U47" s="68"/>
      <c r="V47" s="206"/>
      <c r="W47" s="206">
        <v>26592342</v>
      </c>
      <c r="X47" s="206"/>
      <c r="Y47" s="206"/>
      <c r="Z47" s="206"/>
      <c r="AA47" s="206"/>
      <c r="AB47" s="172"/>
      <c r="AC47" s="172"/>
      <c r="AD47" s="206">
        <v>11396718</v>
      </c>
      <c r="AE47" s="206"/>
      <c r="AF47" s="206"/>
      <c r="AG47" s="219">
        <f t="shared" si="7"/>
        <v>37989060</v>
      </c>
      <c r="AH47" s="124">
        <f t="shared" si="4"/>
        <v>0</v>
      </c>
      <c r="AK47" s="235"/>
      <c r="AL47" s="206"/>
      <c r="AM47" s="206"/>
      <c r="AN47" s="206"/>
      <c r="AO47" s="206"/>
      <c r="AP47" s="206"/>
      <c r="AQ47" s="206">
        <v>1869000</v>
      </c>
      <c r="AR47" s="206">
        <v>819000</v>
      </c>
      <c r="AS47" s="206">
        <v>1159500</v>
      </c>
      <c r="AT47" s="206">
        <v>796500</v>
      </c>
      <c r="AU47" s="206">
        <v>1094500</v>
      </c>
      <c r="AV47" s="227">
        <v>2321605</v>
      </c>
      <c r="AW47" s="228">
        <f t="shared" ref="AW47:AW67" si="9">SUM(AK47:AV47)</f>
        <v>8060105</v>
      </c>
      <c r="AX47" s="431">
        <f t="shared" si="5"/>
        <v>29928955</v>
      </c>
    </row>
    <row r="48" spans="1:54" ht="15">
      <c r="A48" s="18">
        <v>15</v>
      </c>
      <c r="B48" s="7" t="s">
        <v>82</v>
      </c>
      <c r="C48" s="147"/>
      <c r="D48" s="13"/>
      <c r="E48" s="142"/>
      <c r="F48" s="143"/>
      <c r="G48" s="160"/>
      <c r="H48" s="319">
        <f t="shared" si="6"/>
        <v>0</v>
      </c>
      <c r="I48" s="154"/>
      <c r="J48" s="206"/>
      <c r="K48" s="9"/>
      <c r="L48" s="9"/>
      <c r="M48" s="206"/>
      <c r="N48" s="404"/>
      <c r="O48" s="9"/>
      <c r="P48" s="206"/>
      <c r="Q48" s="9"/>
      <c r="R48" s="9"/>
      <c r="S48" s="9"/>
      <c r="T48" s="12"/>
      <c r="U48" s="68"/>
      <c r="V48" s="206"/>
      <c r="W48" s="206"/>
      <c r="X48" s="206"/>
      <c r="Y48" s="206"/>
      <c r="Z48" s="206"/>
      <c r="AA48" s="206"/>
      <c r="AB48" s="172"/>
      <c r="AC48" s="172"/>
      <c r="AD48" s="206"/>
      <c r="AE48" s="206"/>
      <c r="AF48" s="206"/>
      <c r="AG48" s="219">
        <f t="shared" si="7"/>
        <v>0</v>
      </c>
      <c r="AH48" s="124">
        <f t="shared" si="4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9"/>
        <v>0</v>
      </c>
      <c r="AX48" s="431">
        <f t="shared" si="5"/>
        <v>0</v>
      </c>
    </row>
    <row r="49" spans="1:50" ht="15">
      <c r="A49" s="573">
        <v>16</v>
      </c>
      <c r="B49" s="575" t="s">
        <v>83</v>
      </c>
      <c r="C49" s="576">
        <v>1491</v>
      </c>
      <c r="D49" s="577">
        <v>21530304</v>
      </c>
      <c r="E49" s="578">
        <f>+D49*E31</f>
        <v>15071212.799999999</v>
      </c>
      <c r="F49" s="579">
        <f>+D49*F31</f>
        <v>6459091.2000000002</v>
      </c>
      <c r="G49" s="580"/>
      <c r="H49" s="319">
        <f t="shared" si="6"/>
        <v>21530304</v>
      </c>
      <c r="I49" s="154"/>
      <c r="J49" s="206"/>
      <c r="K49" s="9">
        <v>15071213</v>
      </c>
      <c r="L49" s="9"/>
      <c r="M49" s="206"/>
      <c r="N49" s="404"/>
      <c r="O49" s="9"/>
      <c r="P49" s="206"/>
      <c r="Q49" s="9"/>
      <c r="R49" s="9">
        <v>6459091</v>
      </c>
      <c r="S49" s="9"/>
      <c r="T49" s="12"/>
      <c r="U49" s="68"/>
      <c r="V49" s="206"/>
      <c r="W49" s="206">
        <v>15071213</v>
      </c>
      <c r="X49" s="206"/>
      <c r="Y49" s="206"/>
      <c r="Z49" s="206"/>
      <c r="AA49" s="206"/>
      <c r="AB49" s="172"/>
      <c r="AC49" s="172"/>
      <c r="AD49" s="206"/>
      <c r="AE49" s="206">
        <v>6459091</v>
      </c>
      <c r="AF49" s="206"/>
      <c r="AG49" s="219">
        <f t="shared" si="7"/>
        <v>21530304</v>
      </c>
      <c r="AH49" s="124">
        <f t="shared" si="4"/>
        <v>0</v>
      </c>
      <c r="AK49" s="235">
        <v>0</v>
      </c>
      <c r="AL49" s="206">
        <v>0</v>
      </c>
      <c r="AM49" s="206">
        <v>0</v>
      </c>
      <c r="AN49" s="206">
        <v>0</v>
      </c>
      <c r="AO49" s="206">
        <v>0</v>
      </c>
      <c r="AP49" s="206">
        <v>1156400</v>
      </c>
      <c r="AQ49" s="206">
        <v>1368800</v>
      </c>
      <c r="AR49" s="206">
        <v>2200700</v>
      </c>
      <c r="AS49" s="206">
        <v>2011900</v>
      </c>
      <c r="AT49" s="206">
        <v>1834900</v>
      </c>
      <c r="AU49" s="206">
        <v>2017800</v>
      </c>
      <c r="AV49" s="227">
        <v>1793600</v>
      </c>
      <c r="AW49" s="228">
        <f t="shared" si="9"/>
        <v>12384100</v>
      </c>
      <c r="AX49" s="431">
        <f t="shared" si="5"/>
        <v>9146204</v>
      </c>
    </row>
    <row r="50" spans="1:50" ht="15">
      <c r="A50" s="573">
        <v>17</v>
      </c>
      <c r="B50" s="575" t="s">
        <v>95</v>
      </c>
      <c r="C50" s="576">
        <v>1243</v>
      </c>
      <c r="D50" s="577">
        <v>0</v>
      </c>
      <c r="E50" s="142">
        <f>+D50*$E$31</f>
        <v>0</v>
      </c>
      <c r="F50" s="143">
        <f>+D50*$F$31</f>
        <v>0</v>
      </c>
      <c r="G50" s="16"/>
      <c r="H50" s="319">
        <f t="shared" si="6"/>
        <v>0</v>
      </c>
      <c r="I50" s="154"/>
      <c r="J50" s="206"/>
      <c r="K50" s="9">
        <v>0</v>
      </c>
      <c r="L50" s="9"/>
      <c r="M50" s="206"/>
      <c r="N50" s="404"/>
      <c r="O50" s="9"/>
      <c r="P50" s="206"/>
      <c r="Q50" s="9"/>
      <c r="R50" s="9"/>
      <c r="S50" s="9"/>
      <c r="T50" s="12"/>
      <c r="U50" s="68"/>
      <c r="V50" s="206"/>
      <c r="W50" s="206">
        <v>0</v>
      </c>
      <c r="X50" s="206"/>
      <c r="Y50" s="206"/>
      <c r="Z50" s="206"/>
      <c r="AA50" s="206"/>
      <c r="AB50" s="172"/>
      <c r="AC50" s="172"/>
      <c r="AD50" s="206"/>
      <c r="AE50" s="206"/>
      <c r="AF50" s="206"/>
      <c r="AG50" s="219">
        <f t="shared" si="7"/>
        <v>0</v>
      </c>
      <c r="AH50" s="124">
        <f t="shared" si="4"/>
        <v>0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9"/>
        <v>0</v>
      </c>
      <c r="AX50" s="431">
        <f t="shared" si="5"/>
        <v>0</v>
      </c>
    </row>
    <row r="51" spans="1:50" ht="15">
      <c r="A51" s="573">
        <v>18</v>
      </c>
      <c r="B51" s="575" t="s">
        <v>96</v>
      </c>
      <c r="C51" s="576">
        <v>1243</v>
      </c>
      <c r="D51" s="577">
        <v>16493490</v>
      </c>
      <c r="E51" s="142">
        <f>+D51*$E$31</f>
        <v>11545443</v>
      </c>
      <c r="F51" s="143">
        <f>+D51*$F$31</f>
        <v>4948047</v>
      </c>
      <c r="G51" s="670"/>
      <c r="H51" s="319">
        <f t="shared" si="6"/>
        <v>16493490</v>
      </c>
      <c r="I51" s="154"/>
      <c r="J51" s="206"/>
      <c r="K51" s="9">
        <v>11545443</v>
      </c>
      <c r="L51" s="9"/>
      <c r="M51" s="206"/>
      <c r="N51" s="404"/>
      <c r="O51" s="9"/>
      <c r="P51" s="206"/>
      <c r="Q51" s="9"/>
      <c r="R51" s="9">
        <v>2170629.1999767213</v>
      </c>
      <c r="S51" s="9">
        <v>2777417.8000232782</v>
      </c>
      <c r="T51" s="12"/>
      <c r="U51" s="68"/>
      <c r="V51" s="206"/>
      <c r="W51" s="206">
        <v>11545443</v>
      </c>
      <c r="X51" s="206"/>
      <c r="Y51" s="206"/>
      <c r="Z51" s="206"/>
      <c r="AA51" s="206"/>
      <c r="AB51" s="172"/>
      <c r="AC51" s="172"/>
      <c r="AD51" s="206">
        <v>2170629.1999767213</v>
      </c>
      <c r="AE51" s="206">
        <v>2777417.8000232782</v>
      </c>
      <c r="AF51" s="206"/>
      <c r="AG51" s="219">
        <f t="shared" si="7"/>
        <v>16493490</v>
      </c>
      <c r="AH51" s="124">
        <f t="shared" si="4"/>
        <v>0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9"/>
        <v>0</v>
      </c>
      <c r="AX51" s="431">
        <f t="shared" si="5"/>
        <v>16493490</v>
      </c>
    </row>
    <row r="52" spans="1:50" ht="15">
      <c r="A52" s="573">
        <v>19</v>
      </c>
      <c r="B52" s="575" t="s">
        <v>97</v>
      </c>
      <c r="C52" s="576">
        <v>1243</v>
      </c>
      <c r="D52" s="577">
        <v>1881594</v>
      </c>
      <c r="E52" s="142">
        <f>+D52*$E$31</f>
        <v>1317115.7999999998</v>
      </c>
      <c r="F52" s="143">
        <f>+D52*$F$31</f>
        <v>564478.19999999995</v>
      </c>
      <c r="G52" s="670"/>
      <c r="H52" s="319">
        <f t="shared" si="6"/>
        <v>1881594</v>
      </c>
      <c r="I52" s="154"/>
      <c r="J52" s="206"/>
      <c r="K52" s="9">
        <v>1317115.7999999998</v>
      </c>
      <c r="L52" s="9"/>
      <c r="M52" s="206"/>
      <c r="N52" s="404"/>
      <c r="O52" s="9"/>
      <c r="P52" s="206"/>
      <c r="Q52" s="9"/>
      <c r="R52" s="9">
        <v>247627.57178141183</v>
      </c>
      <c r="S52" s="9">
        <v>316850.62821858842</v>
      </c>
      <c r="T52" s="12"/>
      <c r="U52" s="68"/>
      <c r="V52" s="206"/>
      <c r="W52" s="206">
        <v>1317115.7999999998</v>
      </c>
      <c r="X52" s="206"/>
      <c r="Y52" s="206"/>
      <c r="Z52" s="206"/>
      <c r="AA52" s="206"/>
      <c r="AB52" s="172"/>
      <c r="AC52" s="172"/>
      <c r="AD52" s="206">
        <v>247627.57178141183</v>
      </c>
      <c r="AE52" s="206">
        <v>316850.62821858842</v>
      </c>
      <c r="AF52" s="206"/>
      <c r="AG52" s="219">
        <f t="shared" si="7"/>
        <v>1881594</v>
      </c>
      <c r="AH52" s="124">
        <f t="shared" si="4"/>
        <v>0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9"/>
        <v>0</v>
      </c>
      <c r="AX52" s="431">
        <f t="shared" si="5"/>
        <v>1881594</v>
      </c>
    </row>
    <row r="53" spans="1:50" ht="15">
      <c r="A53" s="573">
        <v>20</v>
      </c>
      <c r="B53" s="575" t="s">
        <v>98</v>
      </c>
      <c r="C53" s="576">
        <v>1243</v>
      </c>
      <c r="D53" s="577">
        <v>3962816</v>
      </c>
      <c r="E53" s="142">
        <f>+D53*$E$31</f>
        <v>2773971.1999999997</v>
      </c>
      <c r="F53" s="143">
        <f>+D53*$F$31</f>
        <v>1188844.8</v>
      </c>
      <c r="G53" s="670"/>
      <c r="H53" s="319">
        <f t="shared" si="6"/>
        <v>3962816</v>
      </c>
      <c r="I53" s="154"/>
      <c r="J53" s="206"/>
      <c r="K53" s="9">
        <v>2773971.1999999997</v>
      </c>
      <c r="L53" s="9"/>
      <c r="M53" s="206"/>
      <c r="N53" s="404"/>
      <c r="O53" s="9"/>
      <c r="P53" s="206"/>
      <c r="Q53" s="9"/>
      <c r="R53" s="9">
        <v>521527.22824186698</v>
      </c>
      <c r="S53" s="9">
        <v>667317.57175813336</v>
      </c>
      <c r="T53" s="12"/>
      <c r="U53" s="68"/>
      <c r="V53" s="206"/>
      <c r="W53" s="206">
        <v>2773971.1999999997</v>
      </c>
      <c r="X53" s="206"/>
      <c r="Y53" s="206"/>
      <c r="Z53" s="206"/>
      <c r="AA53" s="206"/>
      <c r="AB53" s="172"/>
      <c r="AC53" s="172"/>
      <c r="AD53" s="206">
        <v>521527.22824186698</v>
      </c>
      <c r="AE53" s="206">
        <v>667317.57175813336</v>
      </c>
      <c r="AF53" s="206"/>
      <c r="AG53" s="219">
        <f t="shared" si="7"/>
        <v>3962816</v>
      </c>
      <c r="AH53" s="124">
        <f t="shared" si="4"/>
        <v>0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9"/>
        <v>0</v>
      </c>
      <c r="AX53" s="431">
        <f t="shared" si="5"/>
        <v>3962816</v>
      </c>
    </row>
    <row r="54" spans="1:50" ht="15">
      <c r="A54" s="573">
        <v>21</v>
      </c>
      <c r="B54" s="575" t="s">
        <v>84</v>
      </c>
      <c r="C54" s="576">
        <v>1956</v>
      </c>
      <c r="D54" s="577">
        <v>3626024</v>
      </c>
      <c r="E54" s="578">
        <f>+D54*$E$31</f>
        <v>2538216.7999999998</v>
      </c>
      <c r="F54" s="579">
        <f>+D54*$F$31</f>
        <v>1087807.2</v>
      </c>
      <c r="G54" s="580"/>
      <c r="H54" s="319">
        <f t="shared" si="6"/>
        <v>3626024</v>
      </c>
      <c r="I54" s="154"/>
      <c r="J54" s="206"/>
      <c r="K54" s="9"/>
      <c r="L54" s="9">
        <v>2538216</v>
      </c>
      <c r="M54" s="206"/>
      <c r="N54" s="404"/>
      <c r="O54" s="9"/>
      <c r="P54" s="206"/>
      <c r="Q54" s="9"/>
      <c r="R54" s="9">
        <v>1087808</v>
      </c>
      <c r="S54" s="9"/>
      <c r="T54" s="12"/>
      <c r="U54" s="68"/>
      <c r="V54" s="206"/>
      <c r="W54" s="206"/>
      <c r="X54" s="206">
        <v>2538216</v>
      </c>
      <c r="Y54" s="206"/>
      <c r="Z54" s="206"/>
      <c r="AA54" s="206"/>
      <c r="AB54" s="172"/>
      <c r="AC54" s="172"/>
      <c r="AD54" s="206">
        <v>1087808</v>
      </c>
      <c r="AE54" s="206"/>
      <c r="AF54" s="206"/>
      <c r="AG54" s="219">
        <f t="shared" si="7"/>
        <v>3626024</v>
      </c>
      <c r="AH54" s="124">
        <f t="shared" si="4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>
        <v>400024</v>
      </c>
      <c r="AT54" s="206">
        <v>354860</v>
      </c>
      <c r="AU54" s="206">
        <v>193560</v>
      </c>
      <c r="AV54" s="227">
        <v>64520</v>
      </c>
      <c r="AW54" s="228">
        <f t="shared" si="9"/>
        <v>1012964</v>
      </c>
      <c r="AX54" s="431">
        <f t="shared" si="5"/>
        <v>2613060</v>
      </c>
    </row>
    <row r="55" spans="1:50" ht="15">
      <c r="A55" s="18">
        <v>22</v>
      </c>
      <c r="B55" s="7" t="s">
        <v>85</v>
      </c>
      <c r="C55" s="147"/>
      <c r="D55" s="13"/>
      <c r="E55" s="142"/>
      <c r="F55" s="143"/>
      <c r="G55" s="160"/>
      <c r="H55" s="319">
        <f t="shared" si="6"/>
        <v>0</v>
      </c>
      <c r="I55" s="154"/>
      <c r="J55" s="206"/>
      <c r="K55" s="9"/>
      <c r="L55" s="9"/>
      <c r="M55" s="206"/>
      <c r="N55" s="404"/>
      <c r="O55" s="9"/>
      <c r="P55" s="206"/>
      <c r="Q55" s="9"/>
      <c r="R55" s="9"/>
      <c r="S55" s="9"/>
      <c r="T55" s="12"/>
      <c r="U55" s="68"/>
      <c r="V55" s="206"/>
      <c r="W55" s="206"/>
      <c r="X55" s="206"/>
      <c r="Y55" s="206"/>
      <c r="Z55" s="206"/>
      <c r="AA55" s="206"/>
      <c r="AB55" s="172"/>
      <c r="AC55" s="172"/>
      <c r="AD55" s="206"/>
      <c r="AE55" s="206"/>
      <c r="AF55" s="206"/>
      <c r="AG55" s="219">
        <f t="shared" si="7"/>
        <v>0</v>
      </c>
      <c r="AH55" s="124">
        <f t="shared" si="4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9"/>
        <v>0</v>
      </c>
      <c r="AX55" s="431">
        <f t="shared" si="5"/>
        <v>0</v>
      </c>
    </row>
    <row r="56" spans="1:50" ht="15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6"/>
        <v>0</v>
      </c>
      <c r="I56" s="154"/>
      <c r="J56" s="206"/>
      <c r="K56" s="9"/>
      <c r="L56" s="9"/>
      <c r="M56" s="206"/>
      <c r="N56" s="404"/>
      <c r="O56" s="9"/>
      <c r="P56" s="206"/>
      <c r="Q56" s="9"/>
      <c r="R56" s="9"/>
      <c r="S56" s="9"/>
      <c r="T56" s="12"/>
      <c r="U56" s="68"/>
      <c r="V56" s="206"/>
      <c r="W56" s="206"/>
      <c r="X56" s="206"/>
      <c r="Y56" s="206"/>
      <c r="Z56" s="206"/>
      <c r="AA56" s="206"/>
      <c r="AB56" s="172"/>
      <c r="AC56" s="172"/>
      <c r="AD56" s="206"/>
      <c r="AE56" s="206"/>
      <c r="AF56" s="206"/>
      <c r="AG56" s="219">
        <f t="shared" si="7"/>
        <v>0</v>
      </c>
      <c r="AH56" s="124">
        <f t="shared" si="4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9"/>
        <v>0</v>
      </c>
      <c r="AX56" s="431">
        <f t="shared" si="5"/>
        <v>0</v>
      </c>
    </row>
    <row r="57" spans="1:50" ht="15">
      <c r="A57" s="573">
        <v>24</v>
      </c>
      <c r="B57" s="575" t="s">
        <v>87</v>
      </c>
      <c r="C57" s="576">
        <v>3105</v>
      </c>
      <c r="D57" s="577">
        <v>17289932</v>
      </c>
      <c r="E57" s="578">
        <f>+D57*E31</f>
        <v>12102952.399999999</v>
      </c>
      <c r="F57" s="579">
        <f>+D57*F31</f>
        <v>5186979.5999999996</v>
      </c>
      <c r="G57" s="580"/>
      <c r="H57" s="319">
        <f t="shared" si="6"/>
        <v>17289932</v>
      </c>
      <c r="I57" s="154"/>
      <c r="J57" s="206"/>
      <c r="K57" s="9"/>
      <c r="L57" s="9"/>
      <c r="M57" s="206"/>
      <c r="N57" s="404">
        <v>12102952</v>
      </c>
      <c r="O57" s="9"/>
      <c r="P57" s="206"/>
      <c r="Q57" s="9"/>
      <c r="R57" s="9">
        <v>5186980</v>
      </c>
      <c r="S57" s="9"/>
      <c r="T57" s="12"/>
      <c r="U57" s="68"/>
      <c r="V57" s="206"/>
      <c r="W57" s="206"/>
      <c r="X57" s="206"/>
      <c r="Y57" s="206"/>
      <c r="Z57" s="206">
        <v>12102952</v>
      </c>
      <c r="AA57" s="206"/>
      <c r="AB57" s="172"/>
      <c r="AC57" s="172"/>
      <c r="AD57" s="206">
        <v>5186980</v>
      </c>
      <c r="AE57" s="206"/>
      <c r="AF57" s="206"/>
      <c r="AG57" s="219">
        <f t="shared" si="7"/>
        <v>17289932</v>
      </c>
      <c r="AH57" s="124">
        <f t="shared" si="4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>
        <v>2595600</v>
      </c>
      <c r="AT57" s="206">
        <v>1329300</v>
      </c>
      <c r="AU57" s="206">
        <v>1152900</v>
      </c>
      <c r="AV57" s="227">
        <v>1159200</v>
      </c>
      <c r="AW57" s="228">
        <f t="shared" si="9"/>
        <v>6237000</v>
      </c>
      <c r="AX57" s="431">
        <f t="shared" si="5"/>
        <v>11052932</v>
      </c>
    </row>
    <row r="58" spans="1:50" s="190" customFormat="1" ht="28.5">
      <c r="A58" s="602">
        <v>25</v>
      </c>
      <c r="B58" s="595" t="s">
        <v>109</v>
      </c>
      <c r="C58" s="603">
        <v>2988</v>
      </c>
      <c r="D58" s="597">
        <v>6157158</v>
      </c>
      <c r="E58" s="598">
        <f>+D58*E31</f>
        <v>4310010.5999999996</v>
      </c>
      <c r="F58" s="599">
        <f>+D58*F31</f>
        <v>1847147.4</v>
      </c>
      <c r="G58" s="600"/>
      <c r="H58" s="349">
        <f t="shared" si="6"/>
        <v>6157158</v>
      </c>
      <c r="I58" s="188"/>
      <c r="J58" s="231"/>
      <c r="K58" s="186"/>
      <c r="L58" s="186"/>
      <c r="M58" s="231"/>
      <c r="N58" s="406"/>
      <c r="O58" s="9"/>
      <c r="P58" s="206"/>
      <c r="Q58" s="9">
        <v>4310010</v>
      </c>
      <c r="R58" s="9">
        <v>1847148</v>
      </c>
      <c r="S58" s="9"/>
      <c r="T58" s="12"/>
      <c r="U58" s="189"/>
      <c r="V58" s="231"/>
      <c r="W58" s="231"/>
      <c r="X58" s="231"/>
      <c r="Y58" s="231"/>
      <c r="Z58" s="231"/>
      <c r="AA58" s="231">
        <v>0</v>
      </c>
      <c r="AB58" s="192"/>
      <c r="AC58" s="192">
        <v>4310010</v>
      </c>
      <c r="AD58" s="231">
        <v>1847148</v>
      </c>
      <c r="AE58" s="231"/>
      <c r="AF58" s="231"/>
      <c r="AG58" s="359">
        <f t="shared" si="7"/>
        <v>6157158</v>
      </c>
      <c r="AH58" s="350">
        <f t="shared" si="4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36">
        <v>454710</v>
      </c>
      <c r="AW58" s="450">
        <f t="shared" si="9"/>
        <v>454710</v>
      </c>
      <c r="AX58" s="431">
        <f t="shared" si="5"/>
        <v>5702448</v>
      </c>
    </row>
    <row r="59" spans="1:50" ht="15">
      <c r="A59" s="573">
        <v>26</v>
      </c>
      <c r="B59" s="575" t="s">
        <v>88</v>
      </c>
      <c r="C59" s="576">
        <v>1774</v>
      </c>
      <c r="D59" s="577">
        <v>731765916</v>
      </c>
      <c r="E59" s="578">
        <f>+D59*G31</f>
        <v>60980493</v>
      </c>
      <c r="F59" s="579">
        <f>+D59*G31</f>
        <v>60980493</v>
      </c>
      <c r="G59" s="580">
        <f>+D59*G31</f>
        <v>60980493</v>
      </c>
      <c r="H59" s="319">
        <f t="shared" si="6"/>
        <v>731765916</v>
      </c>
      <c r="I59" s="154"/>
      <c r="J59" s="206"/>
      <c r="K59" s="9">
        <v>182941479</v>
      </c>
      <c r="L59" s="9">
        <v>60980493</v>
      </c>
      <c r="M59" s="206">
        <v>60980493</v>
      </c>
      <c r="N59" s="404">
        <v>60980493</v>
      </c>
      <c r="O59" s="9">
        <v>60980493</v>
      </c>
      <c r="P59" s="206">
        <v>60980493</v>
      </c>
      <c r="Q59" s="9">
        <v>60980493</v>
      </c>
      <c r="R59" s="9">
        <v>60980493</v>
      </c>
      <c r="S59" s="9">
        <v>60980493</v>
      </c>
      <c r="T59" s="12">
        <v>60980493</v>
      </c>
      <c r="U59" s="68"/>
      <c r="V59" s="206"/>
      <c r="W59" s="206">
        <v>178441479</v>
      </c>
      <c r="X59" s="206">
        <v>60980493</v>
      </c>
      <c r="Y59" s="206">
        <v>60980493</v>
      </c>
      <c r="Z59" s="206"/>
      <c r="AA59" s="206">
        <f>60980493+65480493</f>
        <v>126460986</v>
      </c>
      <c r="AB59" s="172">
        <v>60980493</v>
      </c>
      <c r="AC59" s="172">
        <v>60980493</v>
      </c>
      <c r="AD59" s="206">
        <v>60980493</v>
      </c>
      <c r="AE59" s="206">
        <v>60980493</v>
      </c>
      <c r="AF59" s="206">
        <v>60980493</v>
      </c>
      <c r="AG59" s="219">
        <f t="shared" si="7"/>
        <v>731765916</v>
      </c>
      <c r="AH59" s="124">
        <f t="shared" si="4"/>
        <v>0</v>
      </c>
      <c r="AK59" s="235"/>
      <c r="AL59" s="206"/>
      <c r="AM59" s="206"/>
      <c r="AN59" s="206"/>
      <c r="AO59" s="206">
        <v>250552785</v>
      </c>
      <c r="AP59" s="206">
        <v>66044119</v>
      </c>
      <c r="AQ59" s="206">
        <v>69412212</v>
      </c>
      <c r="AR59" s="206">
        <v>59727587</v>
      </c>
      <c r="AS59" s="206">
        <v>64713896</v>
      </c>
      <c r="AT59" s="206">
        <v>63272715</v>
      </c>
      <c r="AU59" s="206">
        <v>63870603</v>
      </c>
      <c r="AV59" s="227">
        <v>63734290</v>
      </c>
      <c r="AW59" s="228">
        <f t="shared" si="9"/>
        <v>701328207</v>
      </c>
      <c r="AX59" s="431">
        <f t="shared" si="5"/>
        <v>30437709</v>
      </c>
    </row>
    <row r="60" spans="1:50" ht="15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6"/>
        <v>0</v>
      </c>
      <c r="I60" s="154"/>
      <c r="J60" s="206"/>
      <c r="K60" s="9"/>
      <c r="L60" s="9"/>
      <c r="M60" s="206"/>
      <c r="N60" s="404"/>
      <c r="O60" s="9"/>
      <c r="P60" s="206"/>
      <c r="Q60" s="9"/>
      <c r="R60" s="9"/>
      <c r="S60" s="9"/>
      <c r="T60" s="12"/>
      <c r="U60" s="68"/>
      <c r="V60" s="206"/>
      <c r="W60" s="206"/>
      <c r="X60" s="206"/>
      <c r="Y60" s="206"/>
      <c r="Z60" s="206"/>
      <c r="AA60" s="206"/>
      <c r="AB60" s="172"/>
      <c r="AC60" s="172"/>
      <c r="AD60" s="206"/>
      <c r="AE60" s="206"/>
      <c r="AF60" s="206"/>
      <c r="AG60" s="219">
        <f t="shared" si="7"/>
        <v>0</v>
      </c>
      <c r="AH60" s="124">
        <f t="shared" si="4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9"/>
        <v>0</v>
      </c>
      <c r="AX60" s="431">
        <f t="shared" si="5"/>
        <v>0</v>
      </c>
    </row>
    <row r="61" spans="1:50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6"/>
        <v>0</v>
      </c>
      <c r="I61" s="154"/>
      <c r="J61" s="206"/>
      <c r="K61" s="9"/>
      <c r="L61" s="9"/>
      <c r="M61" s="206"/>
      <c r="N61" s="404"/>
      <c r="O61" s="9"/>
      <c r="P61" s="206"/>
      <c r="Q61" s="9"/>
      <c r="R61" s="9"/>
      <c r="S61" s="9"/>
      <c r="T61" s="12"/>
      <c r="U61" s="68"/>
      <c r="V61" s="206"/>
      <c r="W61" s="206"/>
      <c r="X61" s="206"/>
      <c r="Y61" s="206"/>
      <c r="Z61" s="206"/>
      <c r="AA61" s="206"/>
      <c r="AB61" s="172"/>
      <c r="AC61" s="172"/>
      <c r="AD61" s="206"/>
      <c r="AE61" s="206"/>
      <c r="AF61" s="206"/>
      <c r="AG61" s="219">
        <f t="shared" si="7"/>
        <v>0</v>
      </c>
      <c r="AH61" s="124">
        <f t="shared" si="4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9"/>
        <v>0</v>
      </c>
      <c r="AX61" s="431">
        <f t="shared" si="5"/>
        <v>0</v>
      </c>
    </row>
    <row r="62" spans="1:50" ht="15">
      <c r="A62" s="18">
        <v>29</v>
      </c>
      <c r="B62" s="7" t="s">
        <v>103</v>
      </c>
      <c r="C62" s="147">
        <v>1443</v>
      </c>
      <c r="D62" s="13">
        <v>22796910</v>
      </c>
      <c r="E62" s="142">
        <f>+D62*D31</f>
        <v>22796910</v>
      </c>
      <c r="F62" s="143"/>
      <c r="G62" s="160"/>
      <c r="H62" s="319">
        <f t="shared" si="6"/>
        <v>22796910</v>
      </c>
      <c r="I62" s="154"/>
      <c r="J62" s="206"/>
      <c r="K62" s="9">
        <v>22796910</v>
      </c>
      <c r="L62" s="9"/>
      <c r="M62" s="206"/>
      <c r="N62" s="404"/>
      <c r="O62" s="9"/>
      <c r="P62" s="206"/>
      <c r="Q62" s="9"/>
      <c r="R62" s="9"/>
      <c r="S62" s="9"/>
      <c r="T62" s="12"/>
      <c r="U62" s="68"/>
      <c r="V62" s="206"/>
      <c r="W62" s="206">
        <v>22796910</v>
      </c>
      <c r="X62" s="206"/>
      <c r="Y62" s="206"/>
      <c r="Z62" s="206"/>
      <c r="AA62" s="206"/>
      <c r="AB62" s="172"/>
      <c r="AC62" s="172"/>
      <c r="AD62" s="206"/>
      <c r="AE62" s="206"/>
      <c r="AF62" s="206"/>
      <c r="AG62" s="219">
        <f t="shared" si="7"/>
        <v>22796910</v>
      </c>
      <c r="AH62" s="124">
        <f t="shared" si="4"/>
        <v>0</v>
      </c>
      <c r="AK62" s="235"/>
      <c r="AL62" s="206"/>
      <c r="AM62" s="206"/>
      <c r="AN62" s="206">
        <v>23310150</v>
      </c>
      <c r="AO62" s="206"/>
      <c r="AP62" s="206"/>
      <c r="AQ62" s="206"/>
      <c r="AR62" s="206"/>
      <c r="AS62" s="206"/>
      <c r="AT62" s="206"/>
      <c r="AU62" s="206"/>
      <c r="AV62" s="227"/>
      <c r="AW62" s="228">
        <f t="shared" si="9"/>
        <v>23310150</v>
      </c>
      <c r="AX62" s="431">
        <f t="shared" si="5"/>
        <v>-513240</v>
      </c>
    </row>
    <row r="63" spans="1:50" ht="15">
      <c r="A63" s="573">
        <v>30</v>
      </c>
      <c r="B63" s="575" t="s">
        <v>90</v>
      </c>
      <c r="C63" s="576">
        <v>1954</v>
      </c>
      <c r="D63" s="577">
        <v>68625323</v>
      </c>
      <c r="E63" s="578">
        <f>+D63*E31</f>
        <v>48037726.099999994</v>
      </c>
      <c r="F63" s="579">
        <f>+D63*F31</f>
        <v>20587596.899999999</v>
      </c>
      <c r="G63" s="580"/>
      <c r="H63" s="319">
        <f t="shared" si="6"/>
        <v>68625323</v>
      </c>
      <c r="I63" s="154"/>
      <c r="J63" s="206"/>
      <c r="K63" s="9">
        <v>48037726</v>
      </c>
      <c r="L63" s="9"/>
      <c r="M63" s="206"/>
      <c r="N63" s="404"/>
      <c r="O63" s="9"/>
      <c r="P63" s="206"/>
      <c r="Q63" s="9"/>
      <c r="R63" s="9">
        <v>20587597</v>
      </c>
      <c r="S63" s="9"/>
      <c r="T63" s="12"/>
      <c r="U63" s="68"/>
      <c r="V63" s="206"/>
      <c r="W63" s="206">
        <v>48037726</v>
      </c>
      <c r="X63" s="206"/>
      <c r="Y63" s="206"/>
      <c r="Z63" s="206"/>
      <c r="AA63" s="206"/>
      <c r="AB63" s="172"/>
      <c r="AC63" s="172"/>
      <c r="AD63" s="206">
        <v>20587597</v>
      </c>
      <c r="AE63" s="206"/>
      <c r="AF63" s="206"/>
      <c r="AG63" s="219">
        <f t="shared" si="7"/>
        <v>68625323</v>
      </c>
      <c r="AH63" s="124">
        <f t="shared" si="4"/>
        <v>0</v>
      </c>
      <c r="AK63" s="235">
        <v>0</v>
      </c>
      <c r="AL63" s="206">
        <v>0</v>
      </c>
      <c r="AM63" s="206">
        <v>0</v>
      </c>
      <c r="AN63" s="206">
        <v>0</v>
      </c>
      <c r="AO63" s="206">
        <v>7142594</v>
      </c>
      <c r="AP63" s="206">
        <v>9780887</v>
      </c>
      <c r="AQ63" s="206">
        <v>2561776</v>
      </c>
      <c r="AR63" s="206">
        <v>22625875</v>
      </c>
      <c r="AS63" s="206">
        <v>1706736</v>
      </c>
      <c r="AT63" s="206">
        <v>10931497</v>
      </c>
      <c r="AU63" s="206">
        <v>2158366</v>
      </c>
      <c r="AV63" s="227">
        <v>1797796</v>
      </c>
      <c r="AW63" s="228">
        <f t="shared" si="9"/>
        <v>58705527</v>
      </c>
      <c r="AX63" s="431">
        <f t="shared" si="5"/>
        <v>9919796</v>
      </c>
    </row>
    <row r="64" spans="1:50" ht="15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6"/>
        <v>0</v>
      </c>
      <c r="I64" s="154"/>
      <c r="J64" s="206"/>
      <c r="K64" s="9"/>
      <c r="L64" s="9"/>
      <c r="M64" s="206"/>
      <c r="N64" s="404"/>
      <c r="O64" s="9"/>
      <c r="P64" s="206"/>
      <c r="Q64" s="9"/>
      <c r="R64" s="9"/>
      <c r="S64" s="9"/>
      <c r="T64" s="12"/>
      <c r="U64" s="68"/>
      <c r="V64" s="206"/>
      <c r="W64" s="206"/>
      <c r="X64" s="206"/>
      <c r="Y64" s="206"/>
      <c r="Z64" s="206"/>
      <c r="AA64" s="206"/>
      <c r="AB64" s="172"/>
      <c r="AC64" s="172"/>
      <c r="AD64" s="206"/>
      <c r="AE64" s="206"/>
      <c r="AF64" s="206"/>
      <c r="AG64" s="219">
        <f t="shared" si="7"/>
        <v>0</v>
      </c>
      <c r="AH64" s="124">
        <f t="shared" si="4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9"/>
        <v>0</v>
      </c>
      <c r="AX64" s="431">
        <f t="shared" si="5"/>
        <v>0</v>
      </c>
    </row>
    <row r="65" spans="1:50" ht="15">
      <c r="A65" s="573">
        <v>32</v>
      </c>
      <c r="B65" s="575" t="s">
        <v>92</v>
      </c>
      <c r="C65" s="576">
        <v>1364</v>
      </c>
      <c r="D65" s="577">
        <v>3670800</v>
      </c>
      <c r="E65" s="578">
        <f>+D65*E31</f>
        <v>2569560</v>
      </c>
      <c r="F65" s="579">
        <f>+D65*F31</f>
        <v>1101240</v>
      </c>
      <c r="G65" s="580"/>
      <c r="H65" s="319">
        <f t="shared" si="6"/>
        <v>3670800</v>
      </c>
      <c r="I65" s="154"/>
      <c r="J65" s="206"/>
      <c r="K65" s="9">
        <v>2569560</v>
      </c>
      <c r="L65" s="9"/>
      <c r="M65" s="206"/>
      <c r="N65" s="404"/>
      <c r="O65" s="9"/>
      <c r="P65" s="206"/>
      <c r="Q65" s="9"/>
      <c r="R65" s="9">
        <v>1101240</v>
      </c>
      <c r="S65" s="9"/>
      <c r="T65" s="12"/>
      <c r="U65" s="68"/>
      <c r="V65" s="206"/>
      <c r="W65" s="206">
        <v>2569560</v>
      </c>
      <c r="X65" s="206"/>
      <c r="Y65" s="206"/>
      <c r="Z65" s="206"/>
      <c r="AA65" s="206"/>
      <c r="AB65" s="172"/>
      <c r="AC65" s="172"/>
      <c r="AD65" s="206">
        <v>1101240</v>
      </c>
      <c r="AE65" s="206"/>
      <c r="AF65" s="206"/>
      <c r="AG65" s="219">
        <f t="shared" si="7"/>
        <v>3670800</v>
      </c>
      <c r="AH65" s="124">
        <f t="shared" si="4"/>
        <v>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9"/>
        <v>0</v>
      </c>
      <c r="AX65" s="431">
        <f t="shared" si="5"/>
        <v>3670800</v>
      </c>
    </row>
    <row r="66" spans="1:50" ht="15">
      <c r="A66" s="573">
        <v>33</v>
      </c>
      <c r="B66" s="568" t="s">
        <v>107</v>
      </c>
      <c r="C66" s="569">
        <v>1951</v>
      </c>
      <c r="D66" s="567">
        <v>8632735</v>
      </c>
      <c r="E66" s="563">
        <f>+D66*E31</f>
        <v>6042914.5</v>
      </c>
      <c r="F66" s="564">
        <f>+D66*F31</f>
        <v>2589820.5</v>
      </c>
      <c r="G66" s="565"/>
      <c r="H66" s="319">
        <f t="shared" si="6"/>
        <v>8632735</v>
      </c>
      <c r="I66" s="154"/>
      <c r="J66" s="206"/>
      <c r="K66" s="9">
        <v>6042914</v>
      </c>
      <c r="L66" s="9"/>
      <c r="M66" s="206"/>
      <c r="N66" s="404"/>
      <c r="O66" s="9"/>
      <c r="P66" s="206"/>
      <c r="Q66" s="9"/>
      <c r="R66" s="9">
        <v>2589821</v>
      </c>
      <c r="S66" s="9"/>
      <c r="T66" s="12"/>
      <c r="U66" s="177"/>
      <c r="V66" s="210"/>
      <c r="W66" s="210">
        <v>6042914</v>
      </c>
      <c r="X66" s="210"/>
      <c r="Y66" s="210"/>
      <c r="Z66" s="210"/>
      <c r="AA66" s="210"/>
      <c r="AB66" s="179"/>
      <c r="AC66" s="179"/>
      <c r="AD66" s="210">
        <v>2589821</v>
      </c>
      <c r="AE66" s="210"/>
      <c r="AF66" s="210"/>
      <c r="AG66" s="219">
        <f t="shared" si="7"/>
        <v>8632735</v>
      </c>
      <c r="AH66" s="124">
        <f t="shared" si="4"/>
        <v>0</v>
      </c>
      <c r="AK66" s="236"/>
      <c r="AL66" s="210"/>
      <c r="AM66" s="210"/>
      <c r="AN66" s="210"/>
      <c r="AO66" s="210"/>
      <c r="AP66" s="210">
        <v>0</v>
      </c>
      <c r="AQ66" s="210">
        <v>554400</v>
      </c>
      <c r="AR66" s="210">
        <v>611100</v>
      </c>
      <c r="AS66" s="210">
        <v>781200</v>
      </c>
      <c r="AT66" s="210">
        <v>856800</v>
      </c>
      <c r="AU66" s="210">
        <v>522900</v>
      </c>
      <c r="AV66" s="229">
        <v>1083600</v>
      </c>
      <c r="AW66" s="228">
        <f t="shared" si="9"/>
        <v>4410000</v>
      </c>
      <c r="AX66" s="431">
        <f t="shared" si="5"/>
        <v>4222735</v>
      </c>
    </row>
    <row r="67" spans="1:50" ht="15">
      <c r="A67" s="693">
        <v>34</v>
      </c>
      <c r="B67" s="694" t="s">
        <v>180</v>
      </c>
      <c r="C67" s="695" t="s">
        <v>319</v>
      </c>
      <c r="D67" s="696">
        <f>8004579+74406000+6909348+40647122+23718675</f>
        <v>153685724</v>
      </c>
      <c r="E67" s="697">
        <v>5603205.2999999998</v>
      </c>
      <c r="F67" s="698">
        <v>2401373.6999999997</v>
      </c>
      <c r="G67" s="699">
        <f>74406000+6909348+40647122</f>
        <v>121962470</v>
      </c>
      <c r="H67" s="319">
        <f t="shared" si="6"/>
        <v>182173973</v>
      </c>
      <c r="I67" s="154"/>
      <c r="J67" s="206"/>
      <c r="K67" s="9">
        <v>5603205</v>
      </c>
      <c r="L67" s="9">
        <v>46480995</v>
      </c>
      <c r="M67" s="206">
        <v>35164515</v>
      </c>
      <c r="N67" s="404"/>
      <c r="O67" s="9"/>
      <c r="P67" s="206">
        <v>28452986</v>
      </c>
      <c r="Q67" s="9"/>
      <c r="R67" s="9">
        <f>10724178+3541170+23843237+8232067</f>
        <v>46340652</v>
      </c>
      <c r="S67" s="9">
        <v>21924696</v>
      </c>
      <c r="T67" s="12">
        <f>-3587055+1793979</f>
        <v>-1793076</v>
      </c>
      <c r="U67" s="177"/>
      <c r="V67" s="210"/>
      <c r="W67" s="210">
        <v>5603205</v>
      </c>
      <c r="X67" s="210">
        <v>46480995</v>
      </c>
      <c r="Y67" s="210">
        <v>35164515</v>
      </c>
      <c r="Z67" s="210"/>
      <c r="AA67" s="210"/>
      <c r="AB67" s="179">
        <v>28452986</v>
      </c>
      <c r="AC67" s="179"/>
      <c r="AD67" s="210">
        <f>10724178+3541170</f>
        <v>14265348</v>
      </c>
      <c r="AE67" s="210">
        <f>21924696+32075304</f>
        <v>54000000</v>
      </c>
      <c r="AF67" s="65">
        <f>-3587055+1793979</f>
        <v>-1793076</v>
      </c>
      <c r="AG67" s="219">
        <f t="shared" si="7"/>
        <v>182173973</v>
      </c>
      <c r="AH67" s="124">
        <f t="shared" si="4"/>
        <v>0</v>
      </c>
      <c r="AK67" s="236">
        <v>0</v>
      </c>
      <c r="AL67" s="210">
        <v>0</v>
      </c>
      <c r="AM67" s="210">
        <v>0</v>
      </c>
      <c r="AN67" s="210">
        <v>0</v>
      </c>
      <c r="AO67" s="210">
        <v>0</v>
      </c>
      <c r="AP67" s="210">
        <v>18366635</v>
      </c>
      <c r="AQ67" s="210">
        <v>19790255</v>
      </c>
      <c r="AR67" s="210">
        <v>25525077</v>
      </c>
      <c r="AS67" s="210">
        <v>27425146</v>
      </c>
      <c r="AT67" s="210">
        <v>14935655</v>
      </c>
      <c r="AU67" s="210">
        <v>18472090</v>
      </c>
      <c r="AV67" s="229">
        <v>11124050</v>
      </c>
      <c r="AW67" s="228">
        <f t="shared" si="9"/>
        <v>135638908</v>
      </c>
      <c r="AX67" s="431">
        <f t="shared" si="5"/>
        <v>46535065</v>
      </c>
    </row>
    <row r="68" spans="1:50" ht="15">
      <c r="A68" s="18">
        <v>35</v>
      </c>
      <c r="B68" s="52" t="s">
        <v>181</v>
      </c>
      <c r="C68" s="148"/>
      <c r="D68" s="43">
        <f>+D67-H67</f>
        <v>-28488249</v>
      </c>
      <c r="E68" s="174"/>
      <c r="F68" s="175"/>
      <c r="G68" s="176"/>
      <c r="H68" s="319">
        <f t="shared" si="6"/>
        <v>0</v>
      </c>
      <c r="I68" s="154"/>
      <c r="J68" s="206"/>
      <c r="K68" s="9"/>
      <c r="L68" s="9"/>
      <c r="M68" s="206"/>
      <c r="N68" s="404"/>
      <c r="O68" s="9"/>
      <c r="P68" s="206"/>
      <c r="Q68" s="9"/>
      <c r="R68" s="9"/>
      <c r="S68" s="9"/>
      <c r="T68" s="12"/>
      <c r="U68" s="177"/>
      <c r="V68" s="210"/>
      <c r="W68" s="210"/>
      <c r="X68" s="210"/>
      <c r="Y68" s="210"/>
      <c r="Z68" s="210"/>
      <c r="AA68" s="210"/>
      <c r="AB68" s="179"/>
      <c r="AC68" s="179"/>
      <c r="AD68" s="210"/>
      <c r="AE68" s="210"/>
      <c r="AF68" s="210"/>
      <c r="AG68" s="219">
        <f t="shared" ref="AG68:AG74" si="10">SUM(U68:AF68)</f>
        <v>0</v>
      </c>
      <c r="AH68" s="124">
        <f t="shared" ref="AH68:AH81" si="11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1">
        <f t="shared" si="5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19">
        <f t="shared" si="6"/>
        <v>0</v>
      </c>
      <c r="I69" s="154"/>
      <c r="J69" s="206"/>
      <c r="K69" s="9"/>
      <c r="L69" s="9"/>
      <c r="M69" s="206"/>
      <c r="N69" s="404"/>
      <c r="O69" s="9"/>
      <c r="P69" s="206"/>
      <c r="Q69" s="9"/>
      <c r="R69" s="9"/>
      <c r="S69" s="9"/>
      <c r="T69" s="12"/>
      <c r="U69" s="177"/>
      <c r="V69" s="210"/>
      <c r="W69" s="210"/>
      <c r="X69" s="210"/>
      <c r="Y69" s="210"/>
      <c r="Z69" s="210"/>
      <c r="AA69" s="210"/>
      <c r="AB69" s="179"/>
      <c r="AC69" s="179"/>
      <c r="AD69" s="210"/>
      <c r="AE69" s="210"/>
      <c r="AF69" s="210"/>
      <c r="AG69" s="219">
        <f t="shared" si="10"/>
        <v>0</v>
      </c>
      <c r="AH69" s="124">
        <f t="shared" si="11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1">
        <f t="shared" si="5"/>
        <v>0</v>
      </c>
    </row>
    <row r="70" spans="1:50" ht="15">
      <c r="A70" s="573">
        <v>37</v>
      </c>
      <c r="B70" s="568" t="s">
        <v>132</v>
      </c>
      <c r="C70" s="569">
        <v>2245</v>
      </c>
      <c r="D70" s="567">
        <v>27533192</v>
      </c>
      <c r="E70" s="563">
        <f>+D70*0.5</f>
        <v>13766596</v>
      </c>
      <c r="F70" s="564">
        <f>+D70*0.25</f>
        <v>6883298</v>
      </c>
      <c r="G70" s="565">
        <f>+D70*0.25</f>
        <v>6883298</v>
      </c>
      <c r="H70" s="319">
        <f t="shared" si="6"/>
        <v>27533192</v>
      </c>
      <c r="I70" s="154"/>
      <c r="J70" s="206"/>
      <c r="K70" s="9"/>
      <c r="L70" s="9"/>
      <c r="M70" s="206">
        <v>13766596</v>
      </c>
      <c r="N70" s="404"/>
      <c r="O70" s="9"/>
      <c r="P70" s="206">
        <v>6883298</v>
      </c>
      <c r="Q70" s="9"/>
      <c r="R70" s="9">
        <v>6883298</v>
      </c>
      <c r="S70" s="9"/>
      <c r="T70" s="12"/>
      <c r="U70" s="177"/>
      <c r="V70" s="210"/>
      <c r="W70" s="210"/>
      <c r="X70" s="210"/>
      <c r="Y70" s="210">
        <v>13766596</v>
      </c>
      <c r="Z70" s="210"/>
      <c r="AA70" s="210"/>
      <c r="AB70" s="179"/>
      <c r="AC70" s="179">
        <v>6883298</v>
      </c>
      <c r="AD70" s="210">
        <v>6883298</v>
      </c>
      <c r="AE70" s="210"/>
      <c r="AF70" s="210"/>
      <c r="AG70" s="219">
        <f t="shared" si="10"/>
        <v>27533192</v>
      </c>
      <c r="AH70" s="124">
        <f t="shared" si="11"/>
        <v>0</v>
      </c>
      <c r="AK70" s="236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>
        <v>2680524</v>
      </c>
      <c r="AV70" s="229">
        <v>2942394</v>
      </c>
      <c r="AW70" s="228">
        <f t="shared" si="12"/>
        <v>5622918</v>
      </c>
      <c r="AX70" s="431">
        <f t="shared" si="5"/>
        <v>21910274</v>
      </c>
    </row>
    <row r="71" spans="1:50" ht="15">
      <c r="A71" s="573">
        <v>38</v>
      </c>
      <c r="B71" s="568" t="s">
        <v>129</v>
      </c>
      <c r="C71" s="569">
        <v>2987</v>
      </c>
      <c r="D71" s="567">
        <v>3306512</v>
      </c>
      <c r="E71" s="563">
        <f>+D71*E31</f>
        <v>2314558.4</v>
      </c>
      <c r="F71" s="564">
        <f>+D71*F31</f>
        <v>991953.6</v>
      </c>
      <c r="G71" s="565"/>
      <c r="H71" s="319">
        <f t="shared" si="6"/>
        <v>3306512</v>
      </c>
      <c r="I71" s="154"/>
      <c r="J71" s="206"/>
      <c r="K71" s="9"/>
      <c r="L71" s="9"/>
      <c r="M71" s="206"/>
      <c r="N71" s="404">
        <v>2314558</v>
      </c>
      <c r="O71" s="9"/>
      <c r="P71" s="206"/>
      <c r="Q71" s="9"/>
      <c r="R71" s="9"/>
      <c r="S71" s="9">
        <v>991954</v>
      </c>
      <c r="T71" s="12"/>
      <c r="U71" s="177"/>
      <c r="V71" s="210"/>
      <c r="W71" s="210"/>
      <c r="X71" s="210"/>
      <c r="Y71" s="210"/>
      <c r="Z71" s="210">
        <v>2314558</v>
      </c>
      <c r="AA71" s="210"/>
      <c r="AB71" s="179"/>
      <c r="AC71" s="179"/>
      <c r="AD71" s="210"/>
      <c r="AE71" s="210">
        <v>991954</v>
      </c>
      <c r="AF71" s="210"/>
      <c r="AG71" s="219">
        <f t="shared" si="10"/>
        <v>3306512</v>
      </c>
      <c r="AH71" s="124">
        <f t="shared" si="11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1">
        <f t="shared" si="5"/>
        <v>3306512</v>
      </c>
    </row>
    <row r="72" spans="1:50" ht="15">
      <c r="A72" s="18">
        <v>39</v>
      </c>
      <c r="B72" s="52" t="s">
        <v>133</v>
      </c>
      <c r="C72" s="148"/>
      <c r="D72" s="43"/>
      <c r="E72" s="174">
        <f>+D72*$H$31</f>
        <v>0</v>
      </c>
      <c r="F72" s="175">
        <f>+D72*$H$31</f>
        <v>0</v>
      </c>
      <c r="G72" s="176">
        <f>+D72*$H$31</f>
        <v>0</v>
      </c>
      <c r="H72" s="319">
        <f t="shared" si="6"/>
        <v>0</v>
      </c>
      <c r="I72" s="154"/>
      <c r="J72" s="206"/>
      <c r="K72" s="9"/>
      <c r="L72" s="9"/>
      <c r="M72" s="206"/>
      <c r="N72" s="404"/>
      <c r="O72" s="9"/>
      <c r="P72" s="206"/>
      <c r="Q72" s="9"/>
      <c r="R72" s="9"/>
      <c r="S72" s="9"/>
      <c r="T72" s="12"/>
      <c r="U72" s="177"/>
      <c r="V72" s="210"/>
      <c r="W72" s="210"/>
      <c r="X72" s="210"/>
      <c r="Y72" s="210"/>
      <c r="Z72" s="210"/>
      <c r="AA72" s="210"/>
      <c r="AB72" s="179"/>
      <c r="AC72" s="179"/>
      <c r="AD72" s="210"/>
      <c r="AE72" s="210"/>
      <c r="AF72" s="210"/>
      <c r="AG72" s="219">
        <f t="shared" si="10"/>
        <v>0</v>
      </c>
      <c r="AH72" s="124">
        <f t="shared" si="11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2"/>
        <v>0</v>
      </c>
      <c r="AX72" s="431">
        <f t="shared" si="5"/>
        <v>0</v>
      </c>
    </row>
    <row r="73" spans="1:50" ht="15">
      <c r="A73" s="18">
        <v>40</v>
      </c>
      <c r="B73" s="52" t="s">
        <v>134</v>
      </c>
      <c r="C73" s="148">
        <v>2199</v>
      </c>
      <c r="D73" s="43">
        <v>5482565</v>
      </c>
      <c r="E73" s="174">
        <f>+D73*$H$31</f>
        <v>1827521.6666666665</v>
      </c>
      <c r="F73" s="175">
        <f>+D73*$H$31</f>
        <v>1827521.6666666665</v>
      </c>
      <c r="G73" s="176">
        <f>+D73*$H$31</f>
        <v>1827521.6666666665</v>
      </c>
      <c r="H73" s="319">
        <f t="shared" si="6"/>
        <v>5482565</v>
      </c>
      <c r="I73" s="154"/>
      <c r="J73" s="206"/>
      <c r="K73" s="9"/>
      <c r="L73" s="9"/>
      <c r="M73" s="206"/>
      <c r="N73" s="404"/>
      <c r="O73" s="9"/>
      <c r="P73" s="206"/>
      <c r="Q73" s="9"/>
      <c r="R73" s="9">
        <v>5482565</v>
      </c>
      <c r="S73" s="9"/>
      <c r="T73" s="12"/>
      <c r="U73" s="177"/>
      <c r="V73" s="210"/>
      <c r="W73" s="210"/>
      <c r="X73" s="210"/>
      <c r="Y73" s="210"/>
      <c r="Z73" s="210"/>
      <c r="AA73" s="210"/>
      <c r="AB73" s="179"/>
      <c r="AC73" s="179"/>
      <c r="AD73" s="210"/>
      <c r="AE73" s="210"/>
      <c r="AF73" s="210">
        <v>1809246.4500000002</v>
      </c>
      <c r="AG73" s="219">
        <f t="shared" si="10"/>
        <v>1809246.4500000002</v>
      </c>
      <c r="AH73" s="124">
        <f t="shared" si="11"/>
        <v>3673318.55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2"/>
        <v>0</v>
      </c>
      <c r="AX73" s="431">
        <f t="shared" si="5"/>
        <v>1809246.4500000002</v>
      </c>
    </row>
    <row r="74" spans="1:50" ht="15">
      <c r="A74" s="18">
        <v>41</v>
      </c>
      <c r="B74" s="52" t="s">
        <v>135</v>
      </c>
      <c r="C74" s="148">
        <v>2889</v>
      </c>
      <c r="D74" s="43">
        <v>3038496</v>
      </c>
      <c r="E74" s="174">
        <f>+D74*$H$31</f>
        <v>1012832</v>
      </c>
      <c r="F74" s="175">
        <f>+D74*$H$31</f>
        <v>1012832</v>
      </c>
      <c r="G74" s="176">
        <f>+D74*$H$31</f>
        <v>1012832</v>
      </c>
      <c r="H74" s="319">
        <f t="shared" si="6"/>
        <v>3038496</v>
      </c>
      <c r="I74" s="154"/>
      <c r="J74" s="206"/>
      <c r="K74" s="9"/>
      <c r="L74" s="9"/>
      <c r="M74" s="206"/>
      <c r="N74" s="404"/>
      <c r="O74" s="9"/>
      <c r="P74" s="206"/>
      <c r="Q74" s="9"/>
      <c r="R74" s="9">
        <v>3038496</v>
      </c>
      <c r="S74" s="9"/>
      <c r="T74" s="12"/>
      <c r="U74" s="177"/>
      <c r="V74" s="210"/>
      <c r="W74" s="210"/>
      <c r="X74" s="210"/>
      <c r="Y74" s="210"/>
      <c r="Z74" s="210"/>
      <c r="AA74" s="210"/>
      <c r="AB74" s="179"/>
      <c r="AC74" s="179"/>
      <c r="AD74" s="210"/>
      <c r="AE74" s="210"/>
      <c r="AF74" s="210">
        <v>1002703.68</v>
      </c>
      <c r="AG74" s="219">
        <f t="shared" si="10"/>
        <v>1002703.68</v>
      </c>
      <c r="AH74" s="124">
        <f t="shared" si="11"/>
        <v>2035792.3199999998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2"/>
        <v>0</v>
      </c>
      <c r="AX74" s="431">
        <f t="shared" si="5"/>
        <v>1002703.68</v>
      </c>
    </row>
    <row r="75" spans="1:50" ht="15">
      <c r="A75" s="573">
        <v>42</v>
      </c>
      <c r="B75" s="568" t="s">
        <v>170</v>
      </c>
      <c r="C75" s="569">
        <v>3106</v>
      </c>
      <c r="D75" s="567">
        <v>2422015</v>
      </c>
      <c r="E75" s="736" t="s">
        <v>172</v>
      </c>
      <c r="F75" s="737"/>
      <c r="G75" s="738"/>
      <c r="H75" s="319">
        <f t="shared" si="6"/>
        <v>2422015.5</v>
      </c>
      <c r="I75" s="154"/>
      <c r="J75" s="206"/>
      <c r="K75" s="9"/>
      <c r="L75" s="9"/>
      <c r="M75" s="206"/>
      <c r="N75" s="404">
        <v>1695411</v>
      </c>
      <c r="O75" s="9"/>
      <c r="P75" s="206"/>
      <c r="Q75" s="9">
        <v>726604.5</v>
      </c>
      <c r="R75" s="9"/>
      <c r="S75" s="9"/>
      <c r="T75" s="12"/>
      <c r="U75" s="177"/>
      <c r="V75" s="210"/>
      <c r="W75" s="210"/>
      <c r="X75" s="210"/>
      <c r="Y75" s="210"/>
      <c r="Z75" s="210"/>
      <c r="AA75" s="210"/>
      <c r="AB75" s="179"/>
      <c r="AC75" s="179"/>
      <c r="AD75" s="210"/>
      <c r="AE75" s="210"/>
      <c r="AF75" s="210"/>
      <c r="AG75" s="219">
        <f t="shared" ref="AG75:AG82" si="13">SUM(U75:AF75)</f>
        <v>0</v>
      </c>
      <c r="AH75" s="124">
        <f t="shared" si="11"/>
        <v>2422015.5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1">
        <f t="shared" si="5"/>
        <v>0</v>
      </c>
    </row>
    <row r="76" spans="1:50" ht="15">
      <c r="A76" s="573">
        <v>43</v>
      </c>
      <c r="B76" s="568" t="s">
        <v>173</v>
      </c>
      <c r="C76" s="569">
        <v>3107</v>
      </c>
      <c r="D76" s="567">
        <v>4082100</v>
      </c>
      <c r="E76" s="736" t="s">
        <v>172</v>
      </c>
      <c r="F76" s="737"/>
      <c r="G76" s="738"/>
      <c r="H76" s="319">
        <f>SUM(I76:T76)</f>
        <v>4082100</v>
      </c>
      <c r="I76" s="154"/>
      <c r="J76" s="206"/>
      <c r="K76" s="9"/>
      <c r="L76" s="9"/>
      <c r="M76" s="206"/>
      <c r="N76" s="404">
        <v>2857470</v>
      </c>
      <c r="O76" s="9"/>
      <c r="P76" s="206"/>
      <c r="Q76" s="9"/>
      <c r="R76" s="9"/>
      <c r="S76" s="9">
        <v>1224630</v>
      </c>
      <c r="T76" s="12"/>
      <c r="U76" s="177"/>
      <c r="V76" s="210"/>
      <c r="W76" s="210"/>
      <c r="X76" s="210"/>
      <c r="Y76" s="210"/>
      <c r="Z76" s="210"/>
      <c r="AA76" s="210"/>
      <c r="AB76" s="179"/>
      <c r="AC76" s="179"/>
      <c r="AD76" s="210"/>
      <c r="AE76" s="210"/>
      <c r="AF76" s="210"/>
      <c r="AG76" s="219">
        <f t="shared" si="13"/>
        <v>0</v>
      </c>
      <c r="AH76" s="124">
        <f t="shared" si="11"/>
        <v>4082100</v>
      </c>
      <c r="AI76" s="170">
        <f>+AH75+AH76+AH77</f>
        <v>8190682.2000000002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1">
        <f t="shared" si="5"/>
        <v>0</v>
      </c>
    </row>
    <row r="77" spans="1:50" ht="15">
      <c r="A77" s="18">
        <v>44</v>
      </c>
      <c r="B77" s="52" t="s">
        <v>188</v>
      </c>
      <c r="C77" s="148" t="s">
        <v>219</v>
      </c>
      <c r="D77" s="43">
        <v>5621889</v>
      </c>
      <c r="E77" s="479">
        <f>+D77*0.7</f>
        <v>3935322.3</v>
      </c>
      <c r="F77" s="480">
        <f>+D77*0.3</f>
        <v>1686566.7</v>
      </c>
      <c r="G77" s="480"/>
      <c r="H77" s="319">
        <f t="shared" si="6"/>
        <v>5621888.7000000002</v>
      </c>
      <c r="I77" s="154"/>
      <c r="J77" s="206"/>
      <c r="K77" s="9"/>
      <c r="L77" s="9"/>
      <c r="M77" s="206"/>
      <c r="N77" s="404"/>
      <c r="O77" s="9"/>
      <c r="P77" s="210">
        <v>3935322</v>
      </c>
      <c r="Q77" s="9">
        <v>1686566.7</v>
      </c>
      <c r="R77" s="9"/>
      <c r="S77" s="9"/>
      <c r="T77" s="12"/>
      <c r="U77" s="177"/>
      <c r="V77" s="210"/>
      <c r="W77" s="210"/>
      <c r="X77" s="210"/>
      <c r="Z77" s="210"/>
      <c r="AA77" s="210"/>
      <c r="AB77" s="179">
        <v>3935322</v>
      </c>
      <c r="AC77" s="179"/>
      <c r="AD77" s="210"/>
      <c r="AE77" s="210"/>
      <c r="AF77" s="210"/>
      <c r="AG77" s="219">
        <f t="shared" si="13"/>
        <v>3935322</v>
      </c>
      <c r="AH77" s="124">
        <f t="shared" si="11"/>
        <v>1686566.7000000002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4"/>
        <v>0</v>
      </c>
      <c r="AX77" s="431">
        <f t="shared" si="5"/>
        <v>3935322</v>
      </c>
    </row>
    <row r="78" spans="1:50" ht="15">
      <c r="A78" s="18">
        <v>45</v>
      </c>
      <c r="B78" s="52" t="s">
        <v>189</v>
      </c>
      <c r="C78" s="148"/>
      <c r="D78" s="43"/>
      <c r="E78" s="720" t="s">
        <v>172</v>
      </c>
      <c r="F78" s="721"/>
      <c r="G78" s="722"/>
      <c r="H78" s="319">
        <f t="shared" si="6"/>
        <v>0</v>
      </c>
      <c r="I78" s="154"/>
      <c r="J78" s="206"/>
      <c r="K78" s="9"/>
      <c r="L78" s="9"/>
      <c r="M78" s="206"/>
      <c r="N78" s="404"/>
      <c r="O78" s="9"/>
      <c r="P78" s="206"/>
      <c r="Q78" s="9"/>
      <c r="R78" s="9"/>
      <c r="S78" s="9"/>
      <c r="T78" s="12"/>
      <c r="U78" s="177"/>
      <c r="V78" s="210"/>
      <c r="W78" s="210"/>
      <c r="X78" s="210"/>
      <c r="Y78" s="210"/>
      <c r="Z78" s="210"/>
      <c r="AA78" s="210"/>
      <c r="AB78" s="179"/>
      <c r="AC78" s="179"/>
      <c r="AD78" s="210"/>
      <c r="AE78" s="210"/>
      <c r="AF78" s="210"/>
      <c r="AG78" s="219">
        <f t="shared" si="13"/>
        <v>0</v>
      </c>
      <c r="AH78" s="124">
        <f t="shared" si="11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1">
        <f>+AG78-AW78</f>
        <v>0</v>
      </c>
    </row>
    <row r="79" spans="1:50" ht="15">
      <c r="A79" s="573"/>
      <c r="B79" s="568" t="s">
        <v>205</v>
      </c>
      <c r="C79" s="569" t="s">
        <v>212</v>
      </c>
      <c r="D79" s="567">
        <v>18000000</v>
      </c>
      <c r="E79" s="624">
        <f>+D79*0.7</f>
        <v>12600000</v>
      </c>
      <c r="F79" s="625">
        <f>+D79*0.3</f>
        <v>5400000</v>
      </c>
      <c r="G79" s="625"/>
      <c r="H79" s="319">
        <f t="shared" si="6"/>
        <v>18000000</v>
      </c>
      <c r="I79" s="154"/>
      <c r="J79" s="206"/>
      <c r="K79" s="9"/>
      <c r="L79" s="9"/>
      <c r="M79" s="206"/>
      <c r="N79" s="404"/>
      <c r="O79" s="9"/>
      <c r="P79" s="206"/>
      <c r="Q79" s="9">
        <v>12600000</v>
      </c>
      <c r="R79" s="9">
        <v>5400000</v>
      </c>
      <c r="S79" s="9"/>
      <c r="T79" s="12"/>
      <c r="U79" s="177"/>
      <c r="V79" s="210"/>
      <c r="W79" s="210"/>
      <c r="X79" s="210"/>
      <c r="Y79" s="210"/>
      <c r="Z79" s="210"/>
      <c r="AA79" s="210"/>
      <c r="AB79" s="179"/>
      <c r="AC79" s="179">
        <v>12600000</v>
      </c>
      <c r="AD79" s="210">
        <v>5400000</v>
      </c>
      <c r="AE79" s="210"/>
      <c r="AF79" s="210"/>
      <c r="AG79" s="219">
        <f t="shared" si="13"/>
        <v>18000000</v>
      </c>
      <c r="AH79" s="124">
        <f t="shared" si="11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1">
        <f>+AG79-AW79</f>
        <v>18000000</v>
      </c>
    </row>
    <row r="80" spans="1:50" ht="15">
      <c r="A80" s="18">
        <v>46</v>
      </c>
      <c r="B80" s="52" t="s">
        <v>105</v>
      </c>
      <c r="C80" s="148">
        <v>2383</v>
      </c>
      <c r="D80" s="43">
        <v>23747818</v>
      </c>
      <c r="E80" s="174">
        <f>+D80*1</f>
        <v>23747818</v>
      </c>
      <c r="F80" s="175"/>
      <c r="G80" s="176"/>
      <c r="H80" s="319">
        <f t="shared" si="6"/>
        <v>0</v>
      </c>
      <c r="I80" s="154"/>
      <c r="J80" s="206"/>
      <c r="K80" s="9"/>
      <c r="L80" s="9"/>
      <c r="M80" s="206"/>
      <c r="N80" s="404"/>
      <c r="O80" s="9"/>
      <c r="P80" s="206"/>
      <c r="Q80" s="9"/>
      <c r="R80" s="9"/>
      <c r="S80" s="9"/>
      <c r="T80" s="12"/>
      <c r="U80" s="177"/>
      <c r="V80" s="210"/>
      <c r="W80" s="210"/>
      <c r="X80" s="210"/>
      <c r="Y80" s="210"/>
      <c r="Z80" s="210"/>
      <c r="AA80" s="210"/>
      <c r="AB80" s="179"/>
      <c r="AC80" s="179"/>
      <c r="AD80" s="210"/>
      <c r="AE80" s="210"/>
      <c r="AF80" s="210"/>
      <c r="AG80" s="219">
        <f t="shared" si="13"/>
        <v>0</v>
      </c>
      <c r="AH80" s="124">
        <f t="shared" si="11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1">
        <f>+AG80-AW80</f>
        <v>0</v>
      </c>
    </row>
    <row r="81" spans="1:50" ht="15">
      <c r="A81" s="621"/>
      <c r="B81" s="568" t="s">
        <v>256</v>
      </c>
      <c r="C81" s="569" t="s">
        <v>269</v>
      </c>
      <c r="D81" s="567">
        <v>3533620</v>
      </c>
      <c r="E81" s="563">
        <f>+D81</f>
        <v>3533620</v>
      </c>
      <c r="F81" s="564"/>
      <c r="G81" s="565"/>
      <c r="H81" s="319">
        <f t="shared" si="6"/>
        <v>3533620</v>
      </c>
      <c r="I81" s="154"/>
      <c r="J81" s="206"/>
      <c r="K81" s="9"/>
      <c r="L81" s="9"/>
      <c r="M81" s="206"/>
      <c r="N81" s="404"/>
      <c r="O81" s="9"/>
      <c r="P81" s="206"/>
      <c r="Q81" s="9"/>
      <c r="R81" s="9">
        <v>3533620</v>
      </c>
      <c r="S81" s="9"/>
      <c r="T81" s="12"/>
      <c r="U81" s="177"/>
      <c r="V81" s="210"/>
      <c r="W81" s="210"/>
      <c r="X81" s="210"/>
      <c r="Y81" s="210"/>
      <c r="Z81" s="210"/>
      <c r="AA81" s="210"/>
      <c r="AB81" s="179"/>
      <c r="AC81" s="179"/>
      <c r="AD81" s="210">
        <v>3533620</v>
      </c>
      <c r="AE81" s="210"/>
      <c r="AF81" s="210"/>
      <c r="AG81" s="219">
        <f t="shared" si="13"/>
        <v>3533620</v>
      </c>
      <c r="AH81" s="124">
        <f t="shared" si="11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1">
        <f>+AG81-AW81</f>
        <v>3533620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19">
        <f t="shared" si="6"/>
        <v>0</v>
      </c>
      <c r="I82" s="154"/>
      <c r="J82" s="206"/>
      <c r="K82" s="9"/>
      <c r="L82" s="9"/>
      <c r="M82" s="206"/>
      <c r="N82" s="404"/>
      <c r="O82" s="9"/>
      <c r="P82" s="206"/>
      <c r="Q82" s="9"/>
      <c r="R82" s="9"/>
      <c r="S82" s="9"/>
      <c r="T82" s="12"/>
      <c r="U82" s="352"/>
      <c r="V82" s="214"/>
      <c r="W82" s="214"/>
      <c r="X82" s="214"/>
      <c r="Y82" s="214"/>
      <c r="Z82" s="214"/>
      <c r="AA82" s="214"/>
      <c r="AB82" s="521"/>
      <c r="AC82" s="521"/>
      <c r="AD82" s="214"/>
      <c r="AE82" s="214"/>
      <c r="AF82" s="214"/>
      <c r="AG82" s="219">
        <f t="shared" si="13"/>
        <v>0</v>
      </c>
      <c r="AH82" s="124">
        <f>+H82-AG82</f>
        <v>0</v>
      </c>
      <c r="AK82" s="240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96"/>
      <c r="AW82" s="228">
        <f t="shared" si="14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SUM(D34:D81)</f>
        <v>1378243913</v>
      </c>
      <c r="E83" s="86"/>
      <c r="F83" s="87"/>
      <c r="G83" s="88"/>
      <c r="H83" s="342">
        <f t="shared" ref="H83:AG83" si="15">SUM(H34:H82)</f>
        <v>1411472592.8</v>
      </c>
      <c r="I83" s="116">
        <f t="shared" si="15"/>
        <v>0</v>
      </c>
      <c r="J83" s="256">
        <f t="shared" si="15"/>
        <v>0</v>
      </c>
      <c r="K83" s="117">
        <f t="shared" si="15"/>
        <v>479172507.29999995</v>
      </c>
      <c r="L83" s="117">
        <f t="shared" si="15"/>
        <v>109999704</v>
      </c>
      <c r="M83" s="256">
        <f t="shared" si="15"/>
        <v>109911604</v>
      </c>
      <c r="N83" s="407">
        <f t="shared" si="15"/>
        <v>79950884</v>
      </c>
      <c r="O83" s="117">
        <f t="shared" si="15"/>
        <v>60980493</v>
      </c>
      <c r="P83" s="256">
        <f t="shared" si="15"/>
        <v>100252099</v>
      </c>
      <c r="Q83" s="117">
        <f t="shared" si="15"/>
        <v>80303674.200000003</v>
      </c>
      <c r="R83" s="117">
        <f t="shared" si="15"/>
        <v>242830851.30000001</v>
      </c>
      <c r="S83" s="117">
        <f t="shared" si="15"/>
        <v>88883359</v>
      </c>
      <c r="T83" s="117">
        <f t="shared" si="15"/>
        <v>59187417</v>
      </c>
      <c r="U83" s="115">
        <f t="shared" si="15"/>
        <v>0</v>
      </c>
      <c r="V83" s="115">
        <f t="shared" si="15"/>
        <v>0</v>
      </c>
      <c r="W83" s="115">
        <f t="shared" si="15"/>
        <v>474672507.69999999</v>
      </c>
      <c r="X83" s="115">
        <f t="shared" si="15"/>
        <v>109999704</v>
      </c>
      <c r="Y83" s="115">
        <f t="shared" si="15"/>
        <v>109911604</v>
      </c>
      <c r="Z83" s="115">
        <f t="shared" si="15"/>
        <v>14417510</v>
      </c>
      <c r="AA83" s="115">
        <f t="shared" si="15"/>
        <v>126460986</v>
      </c>
      <c r="AB83" s="522">
        <f t="shared" si="15"/>
        <v>93368801</v>
      </c>
      <c r="AC83" s="522">
        <f t="shared" si="15"/>
        <v>84773801</v>
      </c>
      <c r="AD83" s="115">
        <f t="shared" si="15"/>
        <v>171101403.19999999</v>
      </c>
      <c r="AE83" s="115">
        <f t="shared" si="15"/>
        <v>150867116.10000002</v>
      </c>
      <c r="AF83" s="115">
        <f t="shared" si="15"/>
        <v>61999367.130000003</v>
      </c>
      <c r="AG83" s="115">
        <f t="shared" si="15"/>
        <v>1397572800.1300001</v>
      </c>
      <c r="AH83" s="125">
        <f>+H83-AG83</f>
        <v>13899792.669999838</v>
      </c>
      <c r="AK83" s="425">
        <f t="shared" ref="AK83:AX83" si="16">SUM(AK34:AK82)</f>
        <v>0</v>
      </c>
      <c r="AL83" s="424">
        <f t="shared" si="16"/>
        <v>0</v>
      </c>
      <c r="AM83" s="424">
        <f t="shared" si="16"/>
        <v>0</v>
      </c>
      <c r="AN83" s="424">
        <f>SUM(AN34:AN82)</f>
        <v>23310150</v>
      </c>
      <c r="AO83" s="424">
        <f>SUM(AO34:AO82)</f>
        <v>257695379</v>
      </c>
      <c r="AP83" s="424">
        <f>SUM(AP34:AP82)</f>
        <v>99850281</v>
      </c>
      <c r="AQ83" s="424">
        <f>SUM(AQ34:AQ82)</f>
        <v>100058683</v>
      </c>
      <c r="AR83" s="424">
        <f>SUM(AR34:AR82)</f>
        <v>116011579</v>
      </c>
      <c r="AS83" s="424">
        <f t="shared" si="16"/>
        <v>105776242</v>
      </c>
      <c r="AT83" s="424">
        <f t="shared" si="16"/>
        <v>99414467</v>
      </c>
      <c r="AU83" s="424">
        <f t="shared" si="16"/>
        <v>97853314</v>
      </c>
      <c r="AV83" s="433">
        <f t="shared" si="16"/>
        <v>97693127</v>
      </c>
      <c r="AW83" s="447">
        <f t="shared" si="16"/>
        <v>997663222</v>
      </c>
      <c r="AX83" s="429">
        <f t="shared" si="16"/>
        <v>399909578.13</v>
      </c>
    </row>
    <row r="84" spans="1:50" s="376" customFormat="1" ht="15.75" thickBot="1">
      <c r="D84" s="377"/>
      <c r="E84" s="378"/>
      <c r="F84" s="298"/>
      <c r="G84" s="378"/>
      <c r="J84" s="379"/>
      <c r="M84" s="379"/>
      <c r="N84" s="408"/>
      <c r="P84" s="207"/>
      <c r="Q84" s="754" t="s">
        <v>146</v>
      </c>
      <c r="R84" s="755"/>
      <c r="S84" s="755"/>
      <c r="T84" s="755"/>
      <c r="U84" s="397">
        <v>3449852</v>
      </c>
      <c r="V84" s="396">
        <v>3449853</v>
      </c>
      <c r="W84" s="395">
        <v>3449854</v>
      </c>
      <c r="X84" s="396">
        <v>3449855</v>
      </c>
      <c r="Y84" s="395">
        <v>3452144</v>
      </c>
      <c r="Z84" s="396">
        <v>3467819</v>
      </c>
      <c r="AA84" s="395">
        <v>3479940</v>
      </c>
      <c r="AB84" s="523">
        <v>3491818</v>
      </c>
      <c r="AC84" s="478">
        <v>3510149</v>
      </c>
      <c r="AD84" s="396">
        <v>3513779</v>
      </c>
      <c r="AE84" s="395"/>
      <c r="AF84" s="395"/>
      <c r="AG84" s="379"/>
      <c r="AK84" s="207"/>
    </row>
    <row r="85" spans="1:50" ht="15.75" thickBot="1">
      <c r="A85" s="761" t="s">
        <v>94</v>
      </c>
      <c r="B85" s="762"/>
      <c r="C85" s="763"/>
      <c r="D85" s="133">
        <f>+D83+D30</f>
        <v>4232051465</v>
      </c>
      <c r="E85" s="127"/>
      <c r="F85" s="128"/>
      <c r="G85" s="128"/>
      <c r="H85" s="129">
        <f>+H30</f>
        <v>3219753321.4575</v>
      </c>
      <c r="I85" s="130">
        <f t="shared" ref="I85:AH85" si="17">+I83+I30</f>
        <v>238011105</v>
      </c>
      <c r="J85" s="215">
        <f t="shared" si="17"/>
        <v>238015000</v>
      </c>
      <c r="K85" s="130">
        <f t="shared" si="17"/>
        <v>717201474.16949999</v>
      </c>
      <c r="L85" s="130">
        <f t="shared" si="17"/>
        <v>413396621</v>
      </c>
      <c r="M85" s="215">
        <f t="shared" si="17"/>
        <v>347940571</v>
      </c>
      <c r="N85" s="409">
        <f t="shared" si="17"/>
        <v>383012123</v>
      </c>
      <c r="O85" s="130">
        <f t="shared" si="17"/>
        <v>403881414</v>
      </c>
      <c r="P85" s="215">
        <f t="shared" si="17"/>
        <v>337543767</v>
      </c>
      <c r="Q85" s="130">
        <f t="shared" si="17"/>
        <v>382946228.19999999</v>
      </c>
      <c r="R85" s="130">
        <f t="shared" si="17"/>
        <v>480122519.30000001</v>
      </c>
      <c r="S85" s="130">
        <f t="shared" si="17"/>
        <v>326175027</v>
      </c>
      <c r="T85" s="131">
        <f t="shared" si="17"/>
        <v>362980064.588</v>
      </c>
      <c r="U85" s="129">
        <f t="shared" si="17"/>
        <v>237817296</v>
      </c>
      <c r="V85" s="215">
        <f t="shared" si="17"/>
        <v>237842167</v>
      </c>
      <c r="W85" s="285">
        <f t="shared" si="17"/>
        <v>712161083.70000005</v>
      </c>
      <c r="X85" s="242">
        <f t="shared" si="17"/>
        <v>414303654</v>
      </c>
      <c r="Y85" s="215">
        <f t="shared" si="17"/>
        <v>347940571</v>
      </c>
      <c r="Z85" s="285">
        <f t="shared" si="17"/>
        <v>317478749</v>
      </c>
      <c r="AA85" s="242">
        <f t="shared" si="17"/>
        <v>469361907</v>
      </c>
      <c r="AB85" s="524">
        <f t="shared" si="17"/>
        <v>330660469</v>
      </c>
      <c r="AC85" s="525">
        <f t="shared" si="17"/>
        <v>387416355</v>
      </c>
      <c r="AD85" s="242">
        <f t="shared" si="17"/>
        <v>408393071.19999999</v>
      </c>
      <c r="AE85" s="215">
        <f t="shared" si="17"/>
        <v>388158784.10000002</v>
      </c>
      <c r="AF85" s="285">
        <f t="shared" si="17"/>
        <v>365792014.71799999</v>
      </c>
      <c r="AG85" s="282">
        <f t="shared" si="17"/>
        <v>4617326121.7180004</v>
      </c>
      <c r="AH85" s="132">
        <f t="shared" si="17"/>
        <v>13899792.539499998</v>
      </c>
      <c r="AO85" s="469"/>
      <c r="AR85" s="170"/>
    </row>
    <row r="86" spans="1:50">
      <c r="AW86" s="170"/>
    </row>
    <row r="87" spans="1:50" ht="15" thickBot="1">
      <c r="D87" s="1"/>
      <c r="E87" s="1"/>
      <c r="F87" s="1"/>
      <c r="G87" s="1"/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1187820546.7</v>
      </c>
    </row>
    <row r="90" spans="1:50">
      <c r="A90" s="276" t="s">
        <v>120</v>
      </c>
      <c r="B90" s="706" t="s">
        <v>124</v>
      </c>
      <c r="C90" s="707"/>
      <c r="D90" s="277">
        <f>+X85+Y85+Z85</f>
        <v>1079722974</v>
      </c>
    </row>
    <row r="91" spans="1:50">
      <c r="A91" s="276" t="s">
        <v>121</v>
      </c>
      <c r="B91" s="706" t="s">
        <v>125</v>
      </c>
      <c r="C91" s="707"/>
      <c r="D91" s="277">
        <f>+AA85+AB85+AC85</f>
        <v>1187438731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1162343870.0179999</v>
      </c>
    </row>
    <row r="93" spans="1:50" ht="15.75" customHeight="1" thickBot="1">
      <c r="A93" s="756" t="s">
        <v>117</v>
      </c>
      <c r="B93" s="757"/>
      <c r="C93" s="757"/>
      <c r="D93" s="280">
        <f>SUM(D89:D92)</f>
        <v>4617326121.7179995</v>
      </c>
    </row>
    <row r="97" spans="2:5" ht="15">
      <c r="B97" s="509" t="s">
        <v>234</v>
      </c>
      <c r="E97" s="1"/>
    </row>
    <row r="98" spans="2:5">
      <c r="B98" s="700" t="s">
        <v>238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/>
    </row>
    <row r="103" spans="2:5" ht="15">
      <c r="C103" s="508" t="s">
        <v>236</v>
      </c>
      <c r="D103" s="6">
        <v>6883298</v>
      </c>
    </row>
    <row r="104" spans="2:5" ht="15">
      <c r="C104" s="508" t="s">
        <v>88</v>
      </c>
      <c r="D104" s="511">
        <v>65480493</v>
      </c>
    </row>
    <row r="105" spans="2:5">
      <c r="D105" s="6">
        <f>SUM(D102:D104)</f>
        <v>72363791</v>
      </c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BA105"/>
  <sheetViews>
    <sheetView topLeftCell="A31" zoomScale="70" zoomScaleNormal="70" workbookViewId="0">
      <selection activeCell="AF48" sqref="AF48"/>
    </sheetView>
  </sheetViews>
  <sheetFormatPr baseColWidth="10" defaultRowHeight="14.25"/>
  <cols>
    <col min="1" max="1" width="4.85546875" style="1" customWidth="1"/>
    <col min="2" max="2" width="46" style="1" bestFit="1" customWidth="1"/>
    <col min="3" max="3" width="22.42578125" style="1" customWidth="1"/>
    <col min="4" max="4" width="21.7109375" style="6" customWidth="1"/>
    <col min="5" max="5" width="15.7109375" style="4" customWidth="1"/>
    <col min="6" max="6" width="16.5703125" style="4" customWidth="1"/>
    <col min="7" max="7" width="17.42578125" style="4" customWidth="1"/>
    <col min="8" max="8" width="28.5703125" style="1" customWidth="1"/>
    <col min="9" max="9" width="16.7109375" style="1" hidden="1" customWidth="1"/>
    <col min="10" max="10" width="16.28515625" style="1" hidden="1" customWidth="1"/>
    <col min="11" max="11" width="16.5703125" style="1" hidden="1" customWidth="1"/>
    <col min="12" max="12" width="17.7109375" style="1" hidden="1" customWidth="1"/>
    <col min="13" max="13" width="15.7109375" style="1" hidden="1" customWidth="1"/>
    <col min="14" max="15" width="19.7109375" style="1" hidden="1" customWidth="1"/>
    <col min="16" max="16" width="17.42578125" style="207" hidden="1" customWidth="1"/>
    <col min="17" max="17" width="19.7109375" style="1" hidden="1" customWidth="1"/>
    <col min="18" max="18" width="19.28515625" style="1" hidden="1" customWidth="1"/>
    <col min="19" max="19" width="15.42578125" style="1" customWidth="1"/>
    <col min="20" max="20" width="16.85546875" style="1" customWidth="1"/>
    <col min="21" max="21" width="16.7109375" style="1" hidden="1" customWidth="1"/>
    <col min="22" max="22" width="13.5703125" style="207" hidden="1" customWidth="1"/>
    <col min="23" max="23" width="14.140625" style="207" hidden="1" customWidth="1"/>
    <col min="24" max="24" width="16.28515625" style="207" hidden="1" customWidth="1"/>
    <col min="25" max="25" width="14.7109375" style="207" hidden="1" customWidth="1"/>
    <col min="26" max="26" width="17.42578125" style="207" hidden="1" customWidth="1"/>
    <col min="27" max="27" width="17.140625" style="207" hidden="1" customWidth="1"/>
    <col min="28" max="28" width="16.5703125" style="207" hidden="1" customWidth="1"/>
    <col min="29" max="29" width="16" style="207" hidden="1" customWidth="1"/>
    <col min="30" max="30" width="17.42578125" style="207" hidden="1" customWidth="1"/>
    <col min="31" max="31" width="16.7109375" style="207" customWidth="1"/>
    <col min="32" max="32" width="15.42578125" style="207" customWidth="1"/>
    <col min="33" max="33" width="17" style="207" customWidth="1"/>
    <col min="34" max="34" width="17.7109375" style="1" customWidth="1"/>
    <col min="35" max="35" width="15.7109375" style="1" customWidth="1"/>
    <col min="36" max="36" width="11.42578125" style="1" customWidth="1"/>
    <col min="37" max="37" width="13.140625" style="207" hidden="1" customWidth="1"/>
    <col min="38" max="38" width="15.7109375" style="1" hidden="1" customWidth="1"/>
    <col min="39" max="39" width="13.140625" style="1" hidden="1" customWidth="1"/>
    <col min="40" max="40" width="13.7109375" style="1" hidden="1" customWidth="1"/>
    <col min="41" max="41" width="14.7109375" style="1" hidden="1" customWidth="1"/>
    <col min="42" max="43" width="14.85546875" style="1" hidden="1" customWidth="1"/>
    <col min="44" max="44" width="15.28515625" style="1" hidden="1" customWidth="1"/>
    <col min="45" max="45" width="17.7109375" style="1" hidden="1" customWidth="1"/>
    <col min="46" max="46" width="14.28515625" style="1" hidden="1" customWidth="1"/>
    <col min="47" max="47" width="16.71093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5.28515625" style="1" bestFit="1" customWidth="1"/>
    <col min="52" max="52" width="11.42578125" style="1"/>
    <col min="53" max="53" width="12.85546875" style="1" bestFit="1" customWidth="1"/>
    <col min="54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44</v>
      </c>
    </row>
    <row r="11" spans="1:34">
      <c r="B11" s="3" t="s">
        <v>45</v>
      </c>
    </row>
    <row r="12" spans="1:34">
      <c r="B12" s="3" t="s">
        <v>70</v>
      </c>
    </row>
    <row r="13" spans="1:34" ht="15" thickBot="1">
      <c r="I13" s="154">
        <v>483566</v>
      </c>
      <c r="J13" s="65">
        <v>449612</v>
      </c>
      <c r="K13" s="65">
        <v>497107</v>
      </c>
      <c r="L13" s="65">
        <v>497107</v>
      </c>
    </row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0" t="s">
        <v>38</v>
      </c>
      <c r="I14" s="711"/>
      <c r="J14" s="711"/>
      <c r="K14" s="711"/>
      <c r="L14" s="711"/>
      <c r="M14" s="711"/>
      <c r="N14" s="747"/>
      <c r="O14" s="713"/>
      <c r="P14" s="713"/>
      <c r="Q14" s="713"/>
      <c r="R14" s="713"/>
      <c r="S14" s="713"/>
      <c r="T14" s="714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161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184105340*12</f>
        <v>2209264080</v>
      </c>
      <c r="E16" s="22"/>
      <c r="F16" s="23"/>
      <c r="G16" s="24"/>
      <c r="H16" s="318">
        <f>SUM(I16:T16)</f>
        <v>2209264080</v>
      </c>
      <c r="I16" s="153">
        <v>184105340</v>
      </c>
      <c r="J16" s="65">
        <v>184105340</v>
      </c>
      <c r="K16" s="65">
        <v>184105340</v>
      </c>
      <c r="L16" s="65">
        <v>184105340</v>
      </c>
      <c r="M16" s="65">
        <v>184105340</v>
      </c>
      <c r="N16" s="65">
        <v>184105340</v>
      </c>
      <c r="O16" s="33">
        <v>184105340</v>
      </c>
      <c r="P16" s="212">
        <v>184105340</v>
      </c>
      <c r="Q16" s="33">
        <v>184105340</v>
      </c>
      <c r="R16" s="33">
        <v>184105340</v>
      </c>
      <c r="S16" s="33">
        <v>184105340</v>
      </c>
      <c r="T16" s="21">
        <v>184105340</v>
      </c>
      <c r="U16" s="38">
        <v>184105340</v>
      </c>
      <c r="V16" s="217">
        <v>184105340</v>
      </c>
      <c r="W16" s="65">
        <v>184105340</v>
      </c>
      <c r="X16" s="65">
        <v>184105340</v>
      </c>
      <c r="Y16" s="209">
        <v>184105340</v>
      </c>
      <c r="Z16" s="65">
        <v>184105340</v>
      </c>
      <c r="AA16" s="209">
        <v>184105340</v>
      </c>
      <c r="AB16" s="209">
        <v>184105340</v>
      </c>
      <c r="AC16" s="209">
        <v>184105340</v>
      </c>
      <c r="AD16" s="209">
        <v>184105340</v>
      </c>
      <c r="AE16" s="209">
        <v>184105340</v>
      </c>
      <c r="AF16" s="225">
        <v>184105340</v>
      </c>
      <c r="AG16" s="226">
        <f>SUM(U16:AF16)</f>
        <v>2209264080</v>
      </c>
      <c r="AH16" s="123">
        <f t="shared" ref="AH16:AH30" si="0">+H16-AG16</f>
        <v>0</v>
      </c>
    </row>
    <row r="17" spans="1:51" ht="15">
      <c r="A17" s="11">
        <v>2</v>
      </c>
      <c r="B17" s="7" t="s">
        <v>27</v>
      </c>
      <c r="C17" s="147" t="s">
        <v>29</v>
      </c>
      <c r="D17" s="13">
        <f>6479372*12</f>
        <v>77752464</v>
      </c>
      <c r="E17" s="15"/>
      <c r="F17" s="14"/>
      <c r="G17" s="16"/>
      <c r="H17" s="319">
        <f>SUM(I17:T17)</f>
        <v>77752464</v>
      </c>
      <c r="I17" s="154">
        <v>6479372</v>
      </c>
      <c r="J17" s="65">
        <v>6479372</v>
      </c>
      <c r="K17" s="65">
        <v>6479372</v>
      </c>
      <c r="L17" s="65">
        <v>6479372</v>
      </c>
      <c r="M17" s="65">
        <v>6479372</v>
      </c>
      <c r="N17" s="65">
        <v>6479372</v>
      </c>
      <c r="O17" s="9">
        <v>6479372</v>
      </c>
      <c r="P17" s="206">
        <v>6479372</v>
      </c>
      <c r="Q17" s="9">
        <v>6479372</v>
      </c>
      <c r="R17" s="9">
        <v>6479372</v>
      </c>
      <c r="S17" s="9">
        <v>6479372</v>
      </c>
      <c r="T17" s="13">
        <v>6479372</v>
      </c>
      <c r="U17" s="35">
        <v>6479372</v>
      </c>
      <c r="V17" s="217">
        <v>6479372</v>
      </c>
      <c r="W17" s="65">
        <v>6479372</v>
      </c>
      <c r="X17" s="65">
        <v>6479372</v>
      </c>
      <c r="Y17" s="206">
        <v>6479372</v>
      </c>
      <c r="Z17" s="65">
        <v>6479372</v>
      </c>
      <c r="AA17" s="206">
        <v>6479372</v>
      </c>
      <c r="AB17" s="206">
        <v>6479372</v>
      </c>
      <c r="AC17" s="206">
        <v>6479372</v>
      </c>
      <c r="AD17" s="206">
        <v>6479372</v>
      </c>
      <c r="AE17" s="206">
        <v>6479372</v>
      </c>
      <c r="AF17" s="227">
        <v>6479372</v>
      </c>
      <c r="AG17" s="228">
        <f t="shared" ref="AG17:AG28" si="1">SUM(U17:AF17)</f>
        <v>77752464</v>
      </c>
      <c r="AH17" s="124">
        <f t="shared" si="0"/>
        <v>0</v>
      </c>
    </row>
    <row r="18" spans="1:51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65">
        <v>0</v>
      </c>
      <c r="K18" s="9"/>
      <c r="L18" s="9"/>
      <c r="M18" s="9"/>
      <c r="N18" s="9"/>
      <c r="O18" s="9"/>
      <c r="P18" s="206"/>
      <c r="Q18" s="9"/>
      <c r="R18" s="9">
        <v>0</v>
      </c>
      <c r="S18" s="9">
        <v>0</v>
      </c>
      <c r="T18" s="13">
        <v>0</v>
      </c>
      <c r="U18" s="35"/>
      <c r="V18" s="217">
        <v>0</v>
      </c>
      <c r="W18" s="206"/>
      <c r="X18" s="206"/>
      <c r="Y18" s="206"/>
      <c r="Z18" s="206"/>
      <c r="AA18" s="206"/>
      <c r="AB18" s="206"/>
      <c r="AC18" s="206"/>
      <c r="AD18" s="206">
        <v>0</v>
      </c>
      <c r="AE18" s="206">
        <v>0</v>
      </c>
      <c r="AF18" s="227">
        <v>0</v>
      </c>
      <c r="AG18" s="228">
        <f t="shared" si="1"/>
        <v>0</v>
      </c>
      <c r="AH18" s="124">
        <f t="shared" si="0"/>
        <v>0</v>
      </c>
    </row>
    <row r="19" spans="1:51" ht="15">
      <c r="A19" s="11">
        <v>4</v>
      </c>
      <c r="B19" s="7" t="s">
        <v>30</v>
      </c>
      <c r="C19" s="147" t="s">
        <v>29</v>
      </c>
      <c r="D19" s="13"/>
      <c r="E19" s="15"/>
      <c r="F19" s="14"/>
      <c r="G19" s="16"/>
      <c r="H19" s="319">
        <f t="shared" si="2"/>
        <v>-2484930</v>
      </c>
      <c r="I19" s="154"/>
      <c r="J19" s="65">
        <v>0</v>
      </c>
      <c r="K19" s="9"/>
      <c r="L19" s="9"/>
      <c r="M19" s="9"/>
      <c r="N19" s="9"/>
      <c r="O19" s="9"/>
      <c r="P19" s="206"/>
      <c r="Q19" s="9"/>
      <c r="R19" s="9">
        <v>-828310</v>
      </c>
      <c r="S19" s="9">
        <v>-828310</v>
      </c>
      <c r="T19" s="13">
        <v>-828310</v>
      </c>
      <c r="U19" s="35"/>
      <c r="V19" s="217">
        <v>0</v>
      </c>
      <c r="W19" s="206"/>
      <c r="X19" s="206"/>
      <c r="Y19" s="206"/>
      <c r="Z19" s="206"/>
      <c r="AA19" s="206"/>
      <c r="AB19" s="206"/>
      <c r="AC19" s="206"/>
      <c r="AD19" s="206">
        <v>-828310</v>
      </c>
      <c r="AE19" s="206">
        <v>-828310</v>
      </c>
      <c r="AF19" s="227">
        <v>-828310</v>
      </c>
      <c r="AG19" s="228">
        <f t="shared" si="1"/>
        <v>-2484930</v>
      </c>
      <c r="AH19" s="124">
        <f t="shared" si="0"/>
        <v>0</v>
      </c>
    </row>
    <row r="20" spans="1:51" ht="29.25">
      <c r="A20" s="11">
        <v>5</v>
      </c>
      <c r="B20" s="10" t="s">
        <v>31</v>
      </c>
      <c r="C20" s="147" t="s">
        <v>29</v>
      </c>
      <c r="D20" s="13">
        <f>1479735*12</f>
        <v>17756820</v>
      </c>
      <c r="E20" s="15"/>
      <c r="F20" s="14"/>
      <c r="G20" s="16"/>
      <c r="H20" s="319">
        <f t="shared" si="2"/>
        <v>18852923.011999998</v>
      </c>
      <c r="I20" s="154">
        <v>1479735</v>
      </c>
      <c r="J20" s="65">
        <v>1479735</v>
      </c>
      <c r="K20" s="65">
        <v>1479735</v>
      </c>
      <c r="L20" s="65">
        <v>1479735</v>
      </c>
      <c r="M20" s="65">
        <v>1479735</v>
      </c>
      <c r="N20" s="9">
        <v>1479735</v>
      </c>
      <c r="O20" s="9">
        <v>1479735</v>
      </c>
      <c r="P20" s="206">
        <v>1479735</v>
      </c>
      <c r="Q20" s="9">
        <v>1479735</v>
      </c>
      <c r="R20" s="9">
        <v>1479735</v>
      </c>
      <c r="S20" s="9">
        <v>1479735</v>
      </c>
      <c r="T20" s="13">
        <v>2575838.0119999982</v>
      </c>
      <c r="U20" s="35">
        <v>1479735</v>
      </c>
      <c r="V20" s="217">
        <v>1479735</v>
      </c>
      <c r="W20" s="65">
        <v>1479735</v>
      </c>
      <c r="X20" s="65">
        <v>1479735</v>
      </c>
      <c r="Y20" s="206">
        <v>1479735</v>
      </c>
      <c r="Z20" s="65">
        <v>1479735</v>
      </c>
      <c r="AA20" s="206">
        <v>1479735</v>
      </c>
      <c r="AB20" s="206">
        <v>1479735</v>
      </c>
      <c r="AC20" s="206">
        <v>1479735</v>
      </c>
      <c r="AD20" s="206">
        <v>1479735</v>
      </c>
      <c r="AE20" s="206">
        <v>1479735</v>
      </c>
      <c r="AF20" s="227">
        <v>2575838.0119999982</v>
      </c>
      <c r="AG20" s="228">
        <f t="shared" si="1"/>
        <v>18852923.011999998</v>
      </c>
      <c r="AH20" s="124">
        <f t="shared" si="0"/>
        <v>0</v>
      </c>
    </row>
    <row r="21" spans="1:51" ht="15">
      <c r="A21" s="11">
        <v>6</v>
      </c>
      <c r="B21" s="7" t="s">
        <v>32</v>
      </c>
      <c r="C21" s="147" t="s">
        <v>29</v>
      </c>
      <c r="D21" s="13">
        <f>483566*12</f>
        <v>5802792</v>
      </c>
      <c r="E21" s="15"/>
      <c r="F21" s="14"/>
      <c r="G21" s="16"/>
      <c r="H21" s="319">
        <f t="shared" si="2"/>
        <v>5559361.21</v>
      </c>
      <c r="I21" s="252">
        <v>444079</v>
      </c>
      <c r="J21" s="217">
        <v>468950</v>
      </c>
      <c r="K21" s="217">
        <v>461025.21000000008</v>
      </c>
      <c r="L21" s="217">
        <v>461025</v>
      </c>
      <c r="M21" s="65">
        <v>461025</v>
      </c>
      <c r="N21" s="9">
        <v>461025</v>
      </c>
      <c r="O21" s="9">
        <v>461025</v>
      </c>
      <c r="P21" s="206">
        <v>461025</v>
      </c>
      <c r="Q21" s="9">
        <v>461025</v>
      </c>
      <c r="R21" s="9">
        <v>461025</v>
      </c>
      <c r="S21" s="9">
        <v>461025</v>
      </c>
      <c r="T21" s="13">
        <v>497107</v>
      </c>
      <c r="U21" s="35">
        <v>483566</v>
      </c>
      <c r="V21" s="217">
        <v>449612</v>
      </c>
      <c r="W21" s="65">
        <v>458431</v>
      </c>
      <c r="X21" s="65">
        <f>461025-17555</f>
        <v>443470</v>
      </c>
      <c r="Y21" s="206">
        <v>461025</v>
      </c>
      <c r="Z21" s="65">
        <v>461025</v>
      </c>
      <c r="AA21" s="206">
        <v>461025</v>
      </c>
      <c r="AB21" s="206">
        <v>461025</v>
      </c>
      <c r="AC21" s="206">
        <v>461025</v>
      </c>
      <c r="AD21" s="206">
        <v>461025</v>
      </c>
      <c r="AE21" s="206">
        <v>461025</v>
      </c>
      <c r="AF21" s="227">
        <v>497107</v>
      </c>
      <c r="AG21" s="228">
        <f t="shared" si="1"/>
        <v>5559361</v>
      </c>
      <c r="AH21" s="124">
        <f t="shared" si="0"/>
        <v>0.2099999999627471</v>
      </c>
    </row>
    <row r="22" spans="1:51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90847856</v>
      </c>
      <c r="I22" s="154"/>
      <c r="J22" s="65"/>
      <c r="K22" s="65"/>
      <c r="L22" s="65">
        <v>23053474</v>
      </c>
      <c r="M22" s="65"/>
      <c r="N22" s="9">
        <v>22782799</v>
      </c>
      <c r="O22" s="9"/>
      <c r="P22" s="206"/>
      <c r="Q22" s="9">
        <v>22984712</v>
      </c>
      <c r="R22" s="9"/>
      <c r="S22" s="9"/>
      <c r="T22" s="13">
        <v>22026871</v>
      </c>
      <c r="U22" s="35"/>
      <c r="V22" s="217"/>
      <c r="W22" s="65"/>
      <c r="X22" s="65">
        <v>23053474</v>
      </c>
      <c r="Y22" s="206"/>
      <c r="Z22" s="65">
        <v>22782799</v>
      </c>
      <c r="AA22" s="206"/>
      <c r="AB22" s="206"/>
      <c r="AC22" s="206">
        <v>22984712</v>
      </c>
      <c r="AD22" s="206"/>
      <c r="AE22" s="206"/>
      <c r="AF22" s="227">
        <v>22026871</v>
      </c>
      <c r="AG22" s="228">
        <f>SUM(U22:AF22)</f>
        <v>90847856</v>
      </c>
      <c r="AH22" s="124">
        <f t="shared" si="0"/>
        <v>0</v>
      </c>
    </row>
    <row r="23" spans="1:51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104960130</v>
      </c>
      <c r="I23" s="154"/>
      <c r="J23" s="65"/>
      <c r="K23" s="65"/>
      <c r="L23" s="65">
        <v>26634592</v>
      </c>
      <c r="M23" s="65"/>
      <c r="N23" s="9">
        <v>26321870</v>
      </c>
      <c r="O23" s="9"/>
      <c r="P23" s="206"/>
      <c r="Q23" s="9">
        <v>26555149</v>
      </c>
      <c r="R23" s="9"/>
      <c r="S23" s="9"/>
      <c r="T23" s="13">
        <v>25448519</v>
      </c>
      <c r="U23" s="35"/>
      <c r="V23" s="217"/>
      <c r="W23" s="65"/>
      <c r="X23" s="65">
        <v>26634592</v>
      </c>
      <c r="Y23" s="206"/>
      <c r="Z23" s="65">
        <v>26321870</v>
      </c>
      <c r="AA23" s="206"/>
      <c r="AB23" s="206"/>
      <c r="AC23" s="206">
        <v>26555149</v>
      </c>
      <c r="AD23" s="206"/>
      <c r="AE23" s="206"/>
      <c r="AF23" s="227">
        <v>25448519</v>
      </c>
      <c r="AG23" s="228">
        <f>SUM(U23:AF23)</f>
        <v>104960130</v>
      </c>
      <c r="AH23" s="124">
        <f t="shared" si="0"/>
        <v>0</v>
      </c>
    </row>
    <row r="24" spans="1:51" ht="15">
      <c r="A24" s="11">
        <v>7</v>
      </c>
      <c r="B24" s="7" t="s">
        <v>33</v>
      </c>
      <c r="C24" s="147" t="s">
        <v>29</v>
      </c>
      <c r="D24" s="13">
        <f>645055*12</f>
        <v>7740660</v>
      </c>
      <c r="E24" s="15"/>
      <c r="F24" s="14"/>
      <c r="G24" s="16"/>
      <c r="H24" s="319">
        <f t="shared" si="2"/>
        <v>7740660</v>
      </c>
      <c r="I24" s="154">
        <v>645055</v>
      </c>
      <c r="J24" s="65">
        <v>645055</v>
      </c>
      <c r="K24" s="65">
        <v>645055</v>
      </c>
      <c r="L24" s="65">
        <v>645055</v>
      </c>
      <c r="M24" s="65">
        <v>645055</v>
      </c>
      <c r="N24" s="9">
        <v>645055</v>
      </c>
      <c r="O24" s="9">
        <v>645055</v>
      </c>
      <c r="P24" s="206">
        <v>645055</v>
      </c>
      <c r="Q24" s="9">
        <v>645055</v>
      </c>
      <c r="R24" s="9">
        <v>645055</v>
      </c>
      <c r="S24" s="9">
        <v>645055</v>
      </c>
      <c r="T24" s="13">
        <v>645055</v>
      </c>
      <c r="U24" s="35">
        <v>645055</v>
      </c>
      <c r="V24" s="217">
        <v>645055</v>
      </c>
      <c r="W24" s="65">
        <v>645055</v>
      </c>
      <c r="X24" s="65">
        <v>645055</v>
      </c>
      <c r="Y24" s="206">
        <v>645055</v>
      </c>
      <c r="Z24" s="65">
        <v>645055</v>
      </c>
      <c r="AA24" s="206">
        <v>645055</v>
      </c>
      <c r="AB24" s="206">
        <v>645055</v>
      </c>
      <c r="AC24" s="206">
        <v>645055</v>
      </c>
      <c r="AD24" s="206">
        <v>645055</v>
      </c>
      <c r="AE24" s="206">
        <v>645055</v>
      </c>
      <c r="AF24" s="227">
        <v>645055</v>
      </c>
      <c r="AG24" s="228">
        <f t="shared" si="1"/>
        <v>7740660</v>
      </c>
      <c r="AH24" s="124">
        <f t="shared" si="0"/>
        <v>0</v>
      </c>
    </row>
    <row r="25" spans="1:51" ht="15">
      <c r="A25" s="11">
        <v>8</v>
      </c>
      <c r="B25" s="7" t="s">
        <v>35</v>
      </c>
      <c r="C25" s="147" t="s">
        <v>29</v>
      </c>
      <c r="D25" s="13">
        <f>112881*12</f>
        <v>1354572</v>
      </c>
      <c r="E25" s="15"/>
      <c r="F25" s="14"/>
      <c r="G25" s="16"/>
      <c r="H25" s="319">
        <f t="shared" si="2"/>
        <v>1354571.83014</v>
      </c>
      <c r="I25" s="154">
        <v>112881</v>
      </c>
      <c r="J25" s="65">
        <v>112881</v>
      </c>
      <c r="K25" s="65">
        <v>112880.83013999999</v>
      </c>
      <c r="L25" s="65">
        <v>112881</v>
      </c>
      <c r="M25" s="65">
        <v>112881</v>
      </c>
      <c r="N25" s="9">
        <v>112881</v>
      </c>
      <c r="O25" s="9">
        <v>112881</v>
      </c>
      <c r="P25" s="206">
        <v>112881</v>
      </c>
      <c r="Q25" s="9">
        <v>112881</v>
      </c>
      <c r="R25" s="9">
        <v>112881</v>
      </c>
      <c r="S25" s="9">
        <v>112881</v>
      </c>
      <c r="T25" s="13">
        <v>112881</v>
      </c>
      <c r="U25" s="35">
        <v>112881</v>
      </c>
      <c r="V25" s="217">
        <v>112881</v>
      </c>
      <c r="W25" s="65">
        <v>112881</v>
      </c>
      <c r="X25" s="65">
        <v>112881</v>
      </c>
      <c r="Y25" s="206">
        <v>112881</v>
      </c>
      <c r="Z25" s="65">
        <v>112881</v>
      </c>
      <c r="AA25" s="206">
        <v>112881</v>
      </c>
      <c r="AB25" s="206">
        <v>112881</v>
      </c>
      <c r="AC25" s="206">
        <v>112881</v>
      </c>
      <c r="AD25" s="206">
        <v>112881</v>
      </c>
      <c r="AE25" s="206">
        <v>112881</v>
      </c>
      <c r="AF25" s="227">
        <v>112881</v>
      </c>
      <c r="AG25" s="228">
        <f t="shared" si="1"/>
        <v>1354572</v>
      </c>
      <c r="AH25" s="124">
        <f t="shared" si="0"/>
        <v>-0.16986000002361834</v>
      </c>
    </row>
    <row r="26" spans="1:51" ht="15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9">
        <f t="shared" si="2"/>
        <v>0</v>
      </c>
      <c r="I26" s="154"/>
      <c r="J26" s="65"/>
      <c r="K26" s="65"/>
      <c r="L26" s="65"/>
      <c r="M26" s="65"/>
      <c r="N26" s="9"/>
      <c r="O26" s="9"/>
      <c r="P26" s="206"/>
      <c r="Q26" s="9"/>
      <c r="R26" s="9"/>
      <c r="S26" s="9"/>
      <c r="T26" s="13"/>
      <c r="U26" s="35"/>
      <c r="V26" s="217"/>
      <c r="W26" s="65"/>
      <c r="X26" s="65"/>
      <c r="Y26" s="206"/>
      <c r="Z26" s="65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51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59638354</v>
      </c>
      <c r="I27" s="154"/>
      <c r="J27" s="65"/>
      <c r="K27" s="65"/>
      <c r="L27" s="65"/>
      <c r="M27" s="65"/>
      <c r="N27" s="9"/>
      <c r="O27" s="9"/>
      <c r="P27" s="206"/>
      <c r="Q27" s="9">
        <v>59638354</v>
      </c>
      <c r="R27" s="9"/>
      <c r="S27" s="9"/>
      <c r="T27" s="13"/>
      <c r="U27" s="35"/>
      <c r="V27" s="217"/>
      <c r="W27" s="65"/>
      <c r="X27" s="65"/>
      <c r="Y27" s="206"/>
      <c r="Z27" s="65"/>
      <c r="AA27" s="206"/>
      <c r="AB27" s="206"/>
      <c r="AC27" s="65">
        <v>59638354</v>
      </c>
      <c r="AD27" s="206"/>
      <c r="AE27" s="206"/>
      <c r="AF27" s="227"/>
      <c r="AG27" s="228">
        <f t="shared" si="1"/>
        <v>59638354</v>
      </c>
      <c r="AH27" s="124">
        <f t="shared" si="0"/>
        <v>0</v>
      </c>
    </row>
    <row r="28" spans="1:51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62620271</v>
      </c>
      <c r="I28" s="154"/>
      <c r="J28" s="65"/>
      <c r="K28" s="65"/>
      <c r="L28" s="65"/>
      <c r="M28" s="65"/>
      <c r="N28" s="9"/>
      <c r="O28" s="9"/>
      <c r="P28" s="206"/>
      <c r="Q28" s="9">
        <v>62620271</v>
      </c>
      <c r="R28" s="9"/>
      <c r="S28" s="9"/>
      <c r="T28" s="13"/>
      <c r="U28" s="35"/>
      <c r="V28" s="217"/>
      <c r="W28" s="65"/>
      <c r="X28" s="65"/>
      <c r="Y28" s="206"/>
      <c r="Z28" s="65"/>
      <c r="AA28" s="206"/>
      <c r="AB28" s="206"/>
      <c r="AC28" s="65">
        <v>62620271</v>
      </c>
      <c r="AD28" s="206"/>
      <c r="AE28" s="206"/>
      <c r="AF28" s="227"/>
      <c r="AG28" s="228">
        <f t="shared" si="1"/>
        <v>62620271</v>
      </c>
      <c r="AH28" s="124">
        <f t="shared" si="0"/>
        <v>0</v>
      </c>
    </row>
    <row r="29" spans="1:51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19">
        <f t="shared" si="2"/>
        <v>11030754.952721078</v>
      </c>
      <c r="I29" s="154"/>
      <c r="J29" s="65"/>
      <c r="K29" s="65"/>
      <c r="L29" s="65"/>
      <c r="M29" s="65"/>
      <c r="N29" s="9"/>
      <c r="O29" s="9"/>
      <c r="P29" s="206"/>
      <c r="Q29" s="9"/>
      <c r="R29" s="9"/>
      <c r="S29" s="9">
        <v>11030754.952721078</v>
      </c>
      <c r="T29" s="13"/>
      <c r="U29" s="35"/>
      <c r="V29" s="217"/>
      <c r="W29" s="65"/>
      <c r="X29" s="65"/>
      <c r="Y29" s="206"/>
      <c r="Z29" s="65"/>
      <c r="AA29" s="206"/>
      <c r="AB29" s="206"/>
      <c r="AC29" s="65"/>
      <c r="AD29" s="206"/>
      <c r="AE29" s="206">
        <v>11030754.952721078</v>
      </c>
      <c r="AF29" s="227"/>
      <c r="AG29" s="228">
        <f>SUM(U29:AF29)</f>
        <v>11030754.952721078</v>
      </c>
      <c r="AH29" s="124">
        <f>+H29-AG29</f>
        <v>0</v>
      </c>
    </row>
    <row r="30" spans="1:51" ht="15.75" thickBot="1">
      <c r="A30" s="743" t="s">
        <v>36</v>
      </c>
      <c r="B30" s="767"/>
      <c r="C30" s="104"/>
      <c r="D30" s="105">
        <f>SUM(D16:D26)</f>
        <v>2319671388</v>
      </c>
      <c r="E30" s="91"/>
      <c r="F30" s="92"/>
      <c r="G30" s="93"/>
      <c r="H30" s="320">
        <f>SUM(H16:H28)</f>
        <v>2636105741.0521402</v>
      </c>
      <c r="I30" s="311">
        <f>SUM(I16:I28)</f>
        <v>193266462</v>
      </c>
      <c r="J30" s="311">
        <f t="shared" ref="J30:O30" si="3">SUM(J16:J28)</f>
        <v>193291333</v>
      </c>
      <c r="K30" s="311">
        <f t="shared" si="3"/>
        <v>193283408.04014</v>
      </c>
      <c r="L30" s="311">
        <f t="shared" si="3"/>
        <v>242971474</v>
      </c>
      <c r="M30" s="311">
        <f t="shared" si="3"/>
        <v>193283408</v>
      </c>
      <c r="N30" s="311">
        <f t="shared" si="3"/>
        <v>242388077</v>
      </c>
      <c r="O30" s="311">
        <f t="shared" si="3"/>
        <v>193283408</v>
      </c>
      <c r="P30" s="363">
        <f t="shared" ref="P30:AF30" si="4">SUM(P16:P28)</f>
        <v>193283408</v>
      </c>
      <c r="Q30" s="311">
        <f t="shared" si="4"/>
        <v>365081894</v>
      </c>
      <c r="R30" s="311">
        <f t="shared" si="4"/>
        <v>192455098</v>
      </c>
      <c r="S30" s="311">
        <f t="shared" si="4"/>
        <v>192455098</v>
      </c>
      <c r="T30" s="311">
        <f t="shared" si="4"/>
        <v>241062673.01199999</v>
      </c>
      <c r="U30" s="111">
        <f t="shared" si="4"/>
        <v>193305949</v>
      </c>
      <c r="V30" s="211">
        <f t="shared" si="4"/>
        <v>193271995</v>
      </c>
      <c r="W30" s="211">
        <f t="shared" si="4"/>
        <v>193280814</v>
      </c>
      <c r="X30" s="211">
        <f t="shared" si="4"/>
        <v>242953919</v>
      </c>
      <c r="Y30" s="211">
        <f t="shared" si="4"/>
        <v>193283408</v>
      </c>
      <c r="Z30" s="211">
        <f t="shared" si="4"/>
        <v>242388077</v>
      </c>
      <c r="AA30" s="211">
        <f t="shared" si="4"/>
        <v>193283408</v>
      </c>
      <c r="AB30" s="211">
        <f t="shared" si="4"/>
        <v>193283408</v>
      </c>
      <c r="AC30" s="211">
        <f t="shared" si="4"/>
        <v>365081894</v>
      </c>
      <c r="AD30" s="211">
        <f t="shared" si="4"/>
        <v>192455098</v>
      </c>
      <c r="AE30" s="211">
        <f t="shared" si="4"/>
        <v>192455098</v>
      </c>
      <c r="AF30" s="211">
        <f t="shared" si="4"/>
        <v>241062673.01199999</v>
      </c>
      <c r="AG30" s="339">
        <f>SUM(U30:AF30)</f>
        <v>2636105741.0120001</v>
      </c>
      <c r="AH30" s="119">
        <f t="shared" si="0"/>
        <v>4.0140151977539063E-2</v>
      </c>
    </row>
    <row r="31" spans="1:51" ht="15" thickBot="1">
      <c r="D31" s="637">
        <v>8056732</v>
      </c>
      <c r="E31" s="5">
        <v>0.7</v>
      </c>
      <c r="F31" s="5">
        <v>0.3</v>
      </c>
      <c r="G31" s="5">
        <v>8.3333333333333329E-2</v>
      </c>
      <c r="H31" s="149">
        <v>0.33333333333333331</v>
      </c>
      <c r="AS31" s="206">
        <v>433280</v>
      </c>
      <c r="AT31" s="206">
        <v>832280</v>
      </c>
    </row>
    <row r="32" spans="1:51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0" t="s">
        <v>38</v>
      </c>
      <c r="I32" s="711"/>
      <c r="J32" s="711"/>
      <c r="K32" s="711"/>
      <c r="L32" s="711"/>
      <c r="M32" s="711"/>
      <c r="N32" s="712"/>
      <c r="O32" s="713"/>
      <c r="P32" s="713"/>
      <c r="Q32" s="713"/>
      <c r="R32" s="713"/>
      <c r="S32" s="713"/>
      <c r="T32" s="714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  <c r="AY32" s="207">
        <v>1709594</v>
      </c>
    </row>
    <row r="33" spans="1:53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74" t="s">
        <v>13</v>
      </c>
      <c r="K33" s="74" t="s">
        <v>14</v>
      </c>
      <c r="L33" s="74" t="s">
        <v>15</v>
      </c>
      <c r="M33" s="74" t="s">
        <v>16</v>
      </c>
      <c r="N33" s="74" t="s">
        <v>17</v>
      </c>
      <c r="O33" s="74" t="s">
        <v>18</v>
      </c>
      <c r="P33" s="246" t="s">
        <v>19</v>
      </c>
      <c r="Q33" s="74" t="s">
        <v>20</v>
      </c>
      <c r="R33" s="74" t="s">
        <v>21</v>
      </c>
      <c r="S33" s="74" t="s">
        <v>22</v>
      </c>
      <c r="T33" s="75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3" ht="15.75" thickBot="1">
      <c r="A34" s="573">
        <v>1</v>
      </c>
      <c r="B34" s="608" t="s">
        <v>99</v>
      </c>
      <c r="C34" s="615">
        <v>1385</v>
      </c>
      <c r="D34" s="610">
        <v>366095</v>
      </c>
      <c r="E34" s="611">
        <f>+D34*$E$31</f>
        <v>256266.49999999997</v>
      </c>
      <c r="F34" s="612">
        <f>+D34*$F$31</f>
        <v>109828.5</v>
      </c>
      <c r="G34" s="613"/>
      <c r="H34" s="327">
        <f>SUM(I34:T34)</f>
        <v>366095</v>
      </c>
      <c r="I34" s="268"/>
      <c r="J34" s="156"/>
      <c r="K34" s="153">
        <v>256266.49999999997</v>
      </c>
      <c r="L34" s="33"/>
      <c r="M34" s="33"/>
      <c r="N34" s="33"/>
      <c r="O34" s="33"/>
      <c r="P34" s="212"/>
      <c r="Q34" s="33"/>
      <c r="R34" s="33">
        <v>109828.5</v>
      </c>
      <c r="S34" s="33"/>
      <c r="T34" s="21"/>
      <c r="U34" s="38"/>
      <c r="V34" s="220"/>
      <c r="W34" s="209">
        <v>256266.49999999997</v>
      </c>
      <c r="X34" s="209"/>
      <c r="Y34" s="209"/>
      <c r="Z34" s="209"/>
      <c r="AA34" s="209"/>
      <c r="AB34" s="209"/>
      <c r="AC34" s="209"/>
      <c r="AD34" s="33">
        <v>109828.5</v>
      </c>
      <c r="AE34" s="209"/>
      <c r="AF34" s="209"/>
      <c r="AG34" s="218">
        <f>SUM(U34:AF34)</f>
        <v>366095</v>
      </c>
      <c r="AH34" s="123">
        <f t="shared" ref="AH34:AH67" si="5">+H34-AG34</f>
        <v>0</v>
      </c>
      <c r="AK34" s="234"/>
      <c r="AL34" s="220"/>
      <c r="AM34" s="209"/>
      <c r="AN34" s="209"/>
      <c r="AO34" s="209"/>
      <c r="AP34" s="209"/>
      <c r="AQ34" s="209">
        <v>181536.09668169706</v>
      </c>
      <c r="AR34" s="209">
        <v>30801.06621866523</v>
      </c>
      <c r="AS34" s="209">
        <v>30801.06621866523</v>
      </c>
      <c r="AT34" s="209">
        <v>30801.066218665299</v>
      </c>
      <c r="AU34" s="209">
        <v>41218.226600311282</v>
      </c>
      <c r="AV34" s="225"/>
      <c r="AW34" s="226">
        <f>SUM(AK34:AV34)</f>
        <v>315157.52193800407</v>
      </c>
      <c r="AX34" s="123">
        <f>+AG34-AW34</f>
        <v>50937.478061995935</v>
      </c>
      <c r="AY34" s="170">
        <f>+AX34+AX35</f>
        <v>2827252.9999999995</v>
      </c>
      <c r="AZ34" s="149">
        <v>1</v>
      </c>
    </row>
    <row r="35" spans="1:53" ht="15">
      <c r="A35" s="573">
        <v>2</v>
      </c>
      <c r="B35" s="608" t="s">
        <v>100</v>
      </c>
      <c r="C35" s="615">
        <v>1385</v>
      </c>
      <c r="D35" s="610">
        <v>19953780</v>
      </c>
      <c r="E35" s="583">
        <f>+D35*$E$31</f>
        <v>13967646</v>
      </c>
      <c r="F35" s="584">
        <f>+D35*$F$31</f>
        <v>5986134</v>
      </c>
      <c r="G35" s="614"/>
      <c r="H35" s="319">
        <f>SUM(I35:T35)</f>
        <v>19953780</v>
      </c>
      <c r="I35" s="153"/>
      <c r="J35" s="157"/>
      <c r="K35" s="153">
        <v>13967646</v>
      </c>
      <c r="L35" s="33"/>
      <c r="M35" s="33"/>
      <c r="N35" s="33"/>
      <c r="O35" s="33"/>
      <c r="P35" s="212"/>
      <c r="Q35" s="33"/>
      <c r="R35" s="33">
        <v>5986134</v>
      </c>
      <c r="S35" s="33"/>
      <c r="T35" s="21"/>
      <c r="U35" s="144"/>
      <c r="V35" s="217"/>
      <c r="W35" s="212">
        <v>13967646</v>
      </c>
      <c r="X35" s="212"/>
      <c r="Y35" s="212"/>
      <c r="Z35" s="212"/>
      <c r="AA35" s="212"/>
      <c r="AB35" s="212"/>
      <c r="AC35" s="212"/>
      <c r="AD35" s="33">
        <v>5986134</v>
      </c>
      <c r="AE35" s="212"/>
      <c r="AF35" s="212"/>
      <c r="AG35" s="218">
        <f>SUM(U35:AF35)</f>
        <v>19953780</v>
      </c>
      <c r="AH35" s="123">
        <f t="shared" si="5"/>
        <v>0</v>
      </c>
      <c r="AK35" s="469"/>
      <c r="AL35" s="469"/>
      <c r="AM35" s="469"/>
      <c r="AN35" s="469"/>
      <c r="AO35" s="469"/>
      <c r="AP35" s="469"/>
      <c r="AQ35" s="212">
        <v>9894511.9033183027</v>
      </c>
      <c r="AR35" s="212">
        <v>1678792.9337813349</v>
      </c>
      <c r="AS35" s="212">
        <v>1678792.9337813349</v>
      </c>
      <c r="AT35" s="212">
        <v>1678792.9337813347</v>
      </c>
      <c r="AU35" s="212">
        <v>2246573.7733996888</v>
      </c>
      <c r="AV35" s="248"/>
      <c r="AW35" s="226">
        <f>SUM(AK35:AV35)</f>
        <v>17177464.478061996</v>
      </c>
      <c r="AX35" s="431">
        <f t="shared" ref="AX35:AX77" si="6">+AG35-AW35</f>
        <v>2776315.5219380036</v>
      </c>
      <c r="AY35" s="207">
        <v>1709594</v>
      </c>
      <c r="AZ35" s="502">
        <f>+(AX34*AZ34)/AY34</f>
        <v>1.8016597050916894E-2</v>
      </c>
      <c r="BA35" s="207">
        <f>+AT31*AZ35</f>
        <v>14994.853393537112</v>
      </c>
    </row>
    <row r="36" spans="1:53" ht="15">
      <c r="A36" s="18">
        <v>3</v>
      </c>
      <c r="B36" s="7" t="s">
        <v>74</v>
      </c>
      <c r="C36" s="147"/>
      <c r="D36" s="13"/>
      <c r="E36" s="142"/>
      <c r="F36" s="143"/>
      <c r="G36" s="160"/>
      <c r="H36" s="319">
        <f t="shared" ref="H36:H82" si="7">SUM(I36:T36)</f>
        <v>0</v>
      </c>
      <c r="I36" s="154"/>
      <c r="J36" s="157"/>
      <c r="K36" s="154"/>
      <c r="L36" s="9"/>
      <c r="M36" s="9"/>
      <c r="N36" s="9"/>
      <c r="O36" s="33"/>
      <c r="P36" s="212"/>
      <c r="Q36" s="33"/>
      <c r="R36" s="33"/>
      <c r="S36" s="33"/>
      <c r="T36" s="21"/>
      <c r="U36" s="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1">
        <f t="shared" si="6"/>
        <v>0</v>
      </c>
      <c r="AZ36" s="502">
        <f>+(AX35*AZ34)/AY34</f>
        <v>0.98198340294908315</v>
      </c>
      <c r="BA36" s="207">
        <f>+AT31*AZ36</f>
        <v>817285.14660646289</v>
      </c>
    </row>
    <row r="37" spans="1:53" ht="15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7"/>
        <v>0</v>
      </c>
      <c r="I37" s="154"/>
      <c r="J37" s="157"/>
      <c r="K37" s="154"/>
      <c r="L37" s="9"/>
      <c r="M37" s="9"/>
      <c r="N37" s="9"/>
      <c r="O37" s="33"/>
      <c r="P37" s="212"/>
      <c r="Q37" s="33"/>
      <c r="R37" s="33"/>
      <c r="S37" s="33"/>
      <c r="T37" s="21"/>
      <c r="U37" s="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1">
        <f t="shared" si="6"/>
        <v>0</v>
      </c>
    </row>
    <row r="38" spans="1:53" ht="15">
      <c r="A38" s="573">
        <v>5</v>
      </c>
      <c r="B38" s="575" t="s">
        <v>101</v>
      </c>
      <c r="C38" s="576" t="s">
        <v>185</v>
      </c>
      <c r="D38" s="577">
        <f>15550274</f>
        <v>15550274</v>
      </c>
      <c r="E38" s="578">
        <f>+D38*E31</f>
        <v>10885191.799999999</v>
      </c>
      <c r="F38" s="579">
        <f>+D38*F31</f>
        <v>4665082.2</v>
      </c>
      <c r="G38" s="580"/>
      <c r="H38" s="319">
        <f t="shared" si="7"/>
        <v>15550274</v>
      </c>
      <c r="I38" s="154"/>
      <c r="J38" s="157"/>
      <c r="K38" s="154">
        <v>10885191.799999999</v>
      </c>
      <c r="L38" s="9"/>
      <c r="M38" s="9"/>
      <c r="N38" s="9"/>
      <c r="O38" s="33"/>
      <c r="P38" s="212"/>
      <c r="Q38" s="33"/>
      <c r="R38" s="33">
        <v>4665082.2</v>
      </c>
      <c r="S38" s="33"/>
      <c r="T38" s="21"/>
      <c r="U38" s="35"/>
      <c r="V38" s="217"/>
      <c r="W38" s="206">
        <v>10885191.799999999</v>
      </c>
      <c r="X38" s="206"/>
      <c r="Y38" s="206"/>
      <c r="Z38" s="206"/>
      <c r="AA38" s="206"/>
      <c r="AB38" s="206"/>
      <c r="AC38" s="206"/>
      <c r="AD38" s="33">
        <v>4665082.2</v>
      </c>
      <c r="AE38" s="206"/>
      <c r="AF38" s="206"/>
      <c r="AG38" s="219">
        <f>SUM(U38:AF38)</f>
        <v>15550274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>
        <v>400161.13764734124</v>
      </c>
      <c r="AT38" s="206">
        <v>400161.13764734118</v>
      </c>
      <c r="AU38" s="206">
        <v>768662.55456316739</v>
      </c>
      <c r="AV38" s="227"/>
      <c r="AW38" s="228">
        <f>SUM(AK38:AV38)</f>
        <v>1568984.82985785</v>
      </c>
      <c r="AX38" s="431">
        <f t="shared" si="6"/>
        <v>13981289.17014215</v>
      </c>
      <c r="AY38" s="170">
        <f>+AX38+AX39</f>
        <v>15138434</v>
      </c>
      <c r="AZ38" s="149">
        <v>1</v>
      </c>
    </row>
    <row r="39" spans="1:53" ht="15">
      <c r="A39" s="573">
        <v>6</v>
      </c>
      <c r="B39" s="575" t="s">
        <v>102</v>
      </c>
      <c r="C39" s="576" t="s">
        <v>185</v>
      </c>
      <c r="D39" s="577">
        <v>1287000</v>
      </c>
      <c r="E39" s="578">
        <f>+D39*E31</f>
        <v>900900</v>
      </c>
      <c r="F39" s="579">
        <f>+D39*F31</f>
        <v>386100</v>
      </c>
      <c r="G39" s="580"/>
      <c r="H39" s="319">
        <f t="shared" si="7"/>
        <v>1287000</v>
      </c>
      <c r="I39" s="154"/>
      <c r="J39" s="157"/>
      <c r="K39" s="154">
        <v>900900</v>
      </c>
      <c r="L39" s="9"/>
      <c r="M39" s="9"/>
      <c r="N39" s="9"/>
      <c r="O39" s="33"/>
      <c r="P39" s="212"/>
      <c r="Q39" s="33"/>
      <c r="R39" s="33">
        <v>386100</v>
      </c>
      <c r="S39" s="33"/>
      <c r="T39" s="21"/>
      <c r="U39" s="35"/>
      <c r="V39" s="217"/>
      <c r="W39" s="206">
        <v>900900</v>
      </c>
      <c r="X39" s="206"/>
      <c r="Y39" s="206"/>
      <c r="Z39" s="206"/>
      <c r="AA39" s="206"/>
      <c r="AB39" s="206"/>
      <c r="AC39" s="206"/>
      <c r="AD39" s="33">
        <v>386100</v>
      </c>
      <c r="AE39" s="206"/>
      <c r="AF39" s="206"/>
      <c r="AG39" s="219">
        <f t="shared" ref="AG39:AG67" si="8">SUM(U39:AF39)</f>
        <v>1287000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>
        <v>33118.862352658754</v>
      </c>
      <c r="AT39" s="206">
        <v>33118.862352658754</v>
      </c>
      <c r="AU39" s="206">
        <v>63617.445436832582</v>
      </c>
      <c r="AV39" s="227"/>
      <c r="AW39" s="228">
        <f t="shared" ref="AW39:AW45" si="9">SUM(AK39:AV39)</f>
        <v>129855.17014215009</v>
      </c>
      <c r="AX39" s="431">
        <f t="shared" si="6"/>
        <v>1157144.82985785</v>
      </c>
      <c r="AZ39" s="149">
        <f>+(AX38*AZ38)/AY38</f>
        <v>0.92356244841059187</v>
      </c>
      <c r="BA39" s="207">
        <f>+$AT$31*AZ39</f>
        <v>768662.55456316739</v>
      </c>
    </row>
    <row r="40" spans="1:53" ht="15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7"/>
        <v>0</v>
      </c>
      <c r="I40" s="154"/>
      <c r="J40" s="157"/>
      <c r="K40" s="154"/>
      <c r="L40" s="9"/>
      <c r="M40" s="9"/>
      <c r="N40" s="9"/>
      <c r="O40" s="33"/>
      <c r="P40" s="212"/>
      <c r="Q40" s="33"/>
      <c r="R40" s="33"/>
      <c r="S40" s="33"/>
      <c r="T40" s="21"/>
      <c r="U40" s="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1">
        <f t="shared" si="6"/>
        <v>0</v>
      </c>
      <c r="AZ40" s="149">
        <f>+(AX39*AZ38)/AY38</f>
        <v>7.6437551589408126E-2</v>
      </c>
      <c r="BA40" s="207">
        <f>+$AT$31*AZ40</f>
        <v>63617.445436832597</v>
      </c>
    </row>
    <row r="41" spans="1:53" ht="15">
      <c r="A41" s="573">
        <v>8</v>
      </c>
      <c r="B41" s="575" t="s">
        <v>76</v>
      </c>
      <c r="C41" s="576">
        <v>1614</v>
      </c>
      <c r="D41" s="577">
        <v>30491110</v>
      </c>
      <c r="E41" s="578">
        <f>+D41*E31</f>
        <v>21343777</v>
      </c>
      <c r="F41" s="579">
        <f>+D41*F31</f>
        <v>9147333</v>
      </c>
      <c r="G41" s="580"/>
      <c r="H41" s="319">
        <f t="shared" si="7"/>
        <v>30491110</v>
      </c>
      <c r="I41" s="154"/>
      <c r="J41" s="157"/>
      <c r="K41" s="154">
        <v>21343777</v>
      </c>
      <c r="L41" s="9"/>
      <c r="M41" s="9"/>
      <c r="N41" s="9"/>
      <c r="O41" s="33"/>
      <c r="P41" s="212"/>
      <c r="Q41" s="33"/>
      <c r="R41" s="33">
        <v>9147333</v>
      </c>
      <c r="S41" s="33"/>
      <c r="T41" s="21"/>
      <c r="U41" s="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>
        <v>17115676</v>
      </c>
      <c r="AR41" s="206">
        <v>2945090</v>
      </c>
      <c r="AS41" s="206">
        <v>2945090</v>
      </c>
      <c r="AT41" s="206">
        <v>2945090</v>
      </c>
      <c r="AU41" s="206">
        <v>2942101</v>
      </c>
      <c r="AV41" s="227"/>
      <c r="AW41" s="228">
        <f t="shared" si="9"/>
        <v>28893047</v>
      </c>
      <c r="AX41" s="431">
        <f t="shared" si="6"/>
        <v>1598063</v>
      </c>
    </row>
    <row r="42" spans="1:53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7"/>
        <v>0</v>
      </c>
      <c r="I42" s="154"/>
      <c r="J42" s="157"/>
      <c r="K42" s="154"/>
      <c r="L42" s="9"/>
      <c r="M42" s="9"/>
      <c r="N42" s="9"/>
      <c r="O42" s="33"/>
      <c r="P42" s="212"/>
      <c r="Q42" s="33"/>
      <c r="R42" s="33"/>
      <c r="S42" s="33"/>
      <c r="T42" s="21"/>
      <c r="U42" s="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6"/>
        <v>0</v>
      </c>
    </row>
    <row r="43" spans="1:53" ht="15">
      <c r="A43" s="573">
        <v>10</v>
      </c>
      <c r="B43" s="575" t="s">
        <v>104</v>
      </c>
      <c r="C43" s="576">
        <v>2793</v>
      </c>
      <c r="D43" s="577">
        <v>33182642</v>
      </c>
      <c r="E43" s="578">
        <f>+D43*E31</f>
        <v>23227849.399999999</v>
      </c>
      <c r="F43" s="579">
        <f>+D43*F31</f>
        <v>9954792.5999999996</v>
      </c>
      <c r="G43" s="580"/>
      <c r="H43" s="319">
        <f t="shared" si="7"/>
        <v>33182642</v>
      </c>
      <c r="I43" s="154"/>
      <c r="J43" s="157"/>
      <c r="K43" s="154"/>
      <c r="L43" s="9"/>
      <c r="M43" s="9">
        <v>23227849</v>
      </c>
      <c r="N43" s="9"/>
      <c r="O43" s="33"/>
      <c r="P43" s="212"/>
      <c r="Q43" s="33"/>
      <c r="R43" s="33">
        <v>9954793</v>
      </c>
      <c r="S43" s="33"/>
      <c r="T43" s="21"/>
      <c r="U43" s="35"/>
      <c r="V43" s="217"/>
      <c r="W43" s="206"/>
      <c r="X43" s="206"/>
      <c r="Y43" s="206">
        <v>23227849</v>
      </c>
      <c r="Z43" s="206"/>
      <c r="AA43" s="206"/>
      <c r="AB43" s="206"/>
      <c r="AC43" s="206"/>
      <c r="AD43" s="206">
        <v>9954793</v>
      </c>
      <c r="AE43" s="206"/>
      <c r="AF43" s="206"/>
      <c r="AG43" s="219">
        <f t="shared" si="8"/>
        <v>33182642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>
        <v>13268820</v>
      </c>
      <c r="AR43" s="206">
        <v>2211470</v>
      </c>
      <c r="AS43" s="206">
        <v>2287792</v>
      </c>
      <c r="AT43" s="206">
        <v>2728198</v>
      </c>
      <c r="AU43" s="206">
        <v>2287792</v>
      </c>
      <c r="AV43" s="227"/>
      <c r="AW43" s="228">
        <f t="shared" si="9"/>
        <v>22784072</v>
      </c>
      <c r="AX43" s="431">
        <f t="shared" si="6"/>
        <v>10398570</v>
      </c>
    </row>
    <row r="44" spans="1:53" ht="15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7"/>
        <v>0</v>
      </c>
      <c r="I44" s="154"/>
      <c r="J44" s="12"/>
      <c r="K44" s="154"/>
      <c r="L44" s="9"/>
      <c r="M44" s="9"/>
      <c r="N44" s="9"/>
      <c r="O44" s="33"/>
      <c r="P44" s="212"/>
      <c r="Q44" s="33"/>
      <c r="R44" s="33"/>
      <c r="S44" s="33"/>
      <c r="T44" s="21"/>
      <c r="U44" s="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1">
        <f t="shared" si="6"/>
        <v>0</v>
      </c>
    </row>
    <row r="45" spans="1:53" s="190" customFormat="1" ht="32.25" customHeight="1">
      <c r="A45" s="573">
        <v>12</v>
      </c>
      <c r="B45" s="618" t="s">
        <v>79</v>
      </c>
      <c r="C45" s="603">
        <v>1731</v>
      </c>
      <c r="D45" s="597">
        <v>22345630</v>
      </c>
      <c r="E45" s="598">
        <f>+D45*E31</f>
        <v>15641940.999999998</v>
      </c>
      <c r="F45" s="599">
        <f>+D45*F31</f>
        <v>6703689</v>
      </c>
      <c r="G45" s="600"/>
      <c r="H45" s="319">
        <f t="shared" si="7"/>
        <v>22345630</v>
      </c>
      <c r="I45" s="188"/>
      <c r="J45" s="187"/>
      <c r="K45" s="188">
        <v>15641941</v>
      </c>
      <c r="L45" s="186"/>
      <c r="M45" s="186"/>
      <c r="N45" s="186"/>
      <c r="O45" s="33"/>
      <c r="P45" s="212"/>
      <c r="Q45" s="33"/>
      <c r="R45" s="33">
        <v>6703689</v>
      </c>
      <c r="S45" s="33"/>
      <c r="T45" s="21"/>
      <c r="U45" s="191"/>
      <c r="V45" s="230"/>
      <c r="W45" s="231">
        <v>15641941</v>
      </c>
      <c r="X45" s="231"/>
      <c r="Y45" s="231"/>
      <c r="Z45" s="231"/>
      <c r="AA45" s="231"/>
      <c r="AB45" s="231"/>
      <c r="AC45" s="231"/>
      <c r="AD45" s="231">
        <v>6703689</v>
      </c>
      <c r="AE45" s="231"/>
      <c r="AF45" s="231"/>
      <c r="AG45" s="219">
        <f t="shared" si="8"/>
        <v>22345630</v>
      </c>
      <c r="AH45" s="124">
        <f t="shared" si="5"/>
        <v>0</v>
      </c>
      <c r="AK45" s="238"/>
      <c r="AL45" s="230"/>
      <c r="AM45" s="231"/>
      <c r="AN45" s="231"/>
      <c r="AO45" s="231"/>
      <c r="AP45" s="231"/>
      <c r="AQ45" s="231">
        <v>11012322</v>
      </c>
      <c r="AR45" s="231">
        <v>1840924</v>
      </c>
      <c r="AS45" s="231">
        <v>1840924</v>
      </c>
      <c r="AT45" s="231">
        <v>1840924</v>
      </c>
      <c r="AU45" s="231">
        <v>1071955</v>
      </c>
      <c r="AV45" s="436"/>
      <c r="AW45" s="228">
        <f t="shared" si="9"/>
        <v>17607049</v>
      </c>
      <c r="AX45" s="431">
        <f t="shared" si="6"/>
        <v>4738581</v>
      </c>
    </row>
    <row r="46" spans="1:53" ht="15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7"/>
        <v>0</v>
      </c>
      <c r="I46" s="154"/>
      <c r="J46" s="12"/>
      <c r="K46" s="154"/>
      <c r="L46" s="9"/>
      <c r="M46" s="9"/>
      <c r="N46" s="9"/>
      <c r="O46" s="33"/>
      <c r="P46" s="212"/>
      <c r="Q46" s="33"/>
      <c r="R46" s="33"/>
      <c r="S46" s="33"/>
      <c r="T46" s="21"/>
      <c r="U46" s="42">
        <f>SUM(U34:U45)</f>
        <v>0</v>
      </c>
      <c r="V46" s="213">
        <f>SUM(V34:V45)</f>
        <v>0</v>
      </c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6"/>
        <v>0</v>
      </c>
    </row>
    <row r="47" spans="1:53" ht="16.5" customHeight="1">
      <c r="A47" s="585">
        <v>14</v>
      </c>
      <c r="B47" s="586" t="s">
        <v>81</v>
      </c>
      <c r="C47" s="587">
        <v>2617</v>
      </c>
      <c r="D47" s="588">
        <v>38911605</v>
      </c>
      <c r="E47" s="589">
        <f>+D47*E31</f>
        <v>27238123.5</v>
      </c>
      <c r="F47" s="590">
        <f>+D47*F31</f>
        <v>11673481.5</v>
      </c>
      <c r="G47" s="591"/>
      <c r="H47" s="319">
        <f t="shared" si="7"/>
        <v>38911605</v>
      </c>
      <c r="I47" s="154"/>
      <c r="J47" s="12"/>
      <c r="K47" s="154"/>
      <c r="L47" s="9"/>
      <c r="M47" s="9">
        <v>27238123</v>
      </c>
      <c r="N47" s="9"/>
      <c r="O47" s="33"/>
      <c r="P47" s="212"/>
      <c r="Q47" s="33"/>
      <c r="R47" s="33">
        <v>11673482</v>
      </c>
      <c r="S47" s="33"/>
      <c r="T47" s="21"/>
      <c r="U47" s="68"/>
      <c r="V47" s="206"/>
      <c r="W47" s="206"/>
      <c r="X47" s="206"/>
      <c r="Y47" s="206">
        <v>27238123</v>
      </c>
      <c r="Z47" s="206"/>
      <c r="AA47" s="206"/>
      <c r="AB47" s="206"/>
      <c r="AC47" s="206"/>
      <c r="AD47" s="206">
        <v>11673482</v>
      </c>
      <c r="AE47" s="206"/>
      <c r="AF47" s="206"/>
      <c r="AG47" s="219">
        <f t="shared" si="8"/>
        <v>38911605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>
        <v>970000</v>
      </c>
      <c r="AU47" s="206"/>
      <c r="AV47" s="227"/>
      <c r="AW47" s="228">
        <f t="shared" ref="AW47:AW67" si="10">SUM(AK47:AV47)</f>
        <v>970000</v>
      </c>
      <c r="AX47" s="431">
        <f t="shared" si="6"/>
        <v>37941605</v>
      </c>
    </row>
    <row r="48" spans="1:53" ht="15">
      <c r="A48" s="573">
        <v>15</v>
      </c>
      <c r="B48" s="575" t="s">
        <v>82</v>
      </c>
      <c r="C48" s="576" t="s">
        <v>217</v>
      </c>
      <c r="D48" s="577">
        <f>75570048+6487960</f>
        <v>82058008</v>
      </c>
      <c r="E48" s="578">
        <f>+D48*G31</f>
        <v>6838167.333333333</v>
      </c>
      <c r="F48" s="579">
        <f>+D48*G31</f>
        <v>6838167.333333333</v>
      </c>
      <c r="G48" s="580">
        <f>+D48*G31</f>
        <v>6838167.333333333</v>
      </c>
      <c r="H48" s="319">
        <f t="shared" si="7"/>
        <v>82058008</v>
      </c>
      <c r="I48" s="154"/>
      <c r="J48" s="12"/>
      <c r="K48" s="154">
        <v>18892512</v>
      </c>
      <c r="L48" s="9">
        <v>6297504</v>
      </c>
      <c r="M48" s="9">
        <v>6297504</v>
      </c>
      <c r="N48" s="9">
        <v>6297504</v>
      </c>
      <c r="O48" s="33">
        <v>6297504</v>
      </c>
      <c r="P48" s="212">
        <v>6297504</v>
      </c>
      <c r="Q48" s="33">
        <v>12785464</v>
      </c>
      <c r="R48" s="33">
        <v>6297504</v>
      </c>
      <c r="S48" s="33">
        <v>6297504</v>
      </c>
      <c r="T48" s="21">
        <v>6297504</v>
      </c>
      <c r="U48" s="68"/>
      <c r="V48" s="206"/>
      <c r="W48" s="206">
        <v>18892512</v>
      </c>
      <c r="X48" s="206">
        <v>6297504</v>
      </c>
      <c r="Y48" s="206">
        <v>6297504</v>
      </c>
      <c r="Z48" s="206"/>
      <c r="AA48" s="206">
        <v>6297504</v>
      </c>
      <c r="AB48" s="206">
        <f>6297504+6297504</f>
        <v>12595008</v>
      </c>
      <c r="AC48" s="206">
        <v>12785464</v>
      </c>
      <c r="AD48" s="206">
        <v>6297504</v>
      </c>
      <c r="AE48" s="206">
        <v>6297504</v>
      </c>
      <c r="AF48" s="206">
        <v>6297504</v>
      </c>
      <c r="AG48" s="219">
        <f t="shared" si="8"/>
        <v>82058008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>
        <v>48007535</v>
      </c>
      <c r="AR48" s="206">
        <v>8299457</v>
      </c>
      <c r="AS48" s="206">
        <v>9003293</v>
      </c>
      <c r="AT48" s="206">
        <v>8698936</v>
      </c>
      <c r="AU48" s="206">
        <v>9191407</v>
      </c>
      <c r="AV48" s="227"/>
      <c r="AW48" s="228">
        <f t="shared" si="10"/>
        <v>83200628</v>
      </c>
      <c r="AX48" s="431">
        <f t="shared" si="6"/>
        <v>-1142620</v>
      </c>
    </row>
    <row r="49" spans="1:53" ht="15">
      <c r="A49" s="573">
        <v>16</v>
      </c>
      <c r="B49" s="575" t="s">
        <v>83</v>
      </c>
      <c r="C49" s="576">
        <v>1734</v>
      </c>
      <c r="D49" s="577">
        <v>16815568</v>
      </c>
      <c r="E49" s="578">
        <f>+D49*E31</f>
        <v>11770897.6</v>
      </c>
      <c r="F49" s="579">
        <f>+D49*F31</f>
        <v>5044670.3999999994</v>
      </c>
      <c r="H49" s="319">
        <f t="shared" si="7"/>
        <v>16815568</v>
      </c>
      <c r="I49" s="154"/>
      <c r="J49" s="12"/>
      <c r="K49" s="154">
        <v>11770897</v>
      </c>
      <c r="L49" s="9"/>
      <c r="M49" s="9"/>
      <c r="N49" s="9"/>
      <c r="O49" s="33"/>
      <c r="P49" s="212"/>
      <c r="Q49" s="33"/>
      <c r="R49" s="33">
        <v>5044671</v>
      </c>
      <c r="S49" s="33"/>
      <c r="T49" s="21"/>
      <c r="U49" s="68"/>
      <c r="V49" s="206"/>
      <c r="W49" s="206">
        <v>11770897</v>
      </c>
      <c r="X49" s="206"/>
      <c r="Y49" s="206"/>
      <c r="Z49" s="206"/>
      <c r="AA49" s="206"/>
      <c r="AB49" s="206"/>
      <c r="AC49" s="206"/>
      <c r="AD49" s="206"/>
      <c r="AE49" s="206">
        <v>5044671</v>
      </c>
      <c r="AF49" s="206"/>
      <c r="AG49" s="219">
        <f t="shared" si="8"/>
        <v>16815568</v>
      </c>
      <c r="AH49" s="124">
        <f t="shared" si="5"/>
        <v>0</v>
      </c>
      <c r="AK49" s="235"/>
      <c r="AL49" s="206"/>
      <c r="AM49" s="206"/>
      <c r="AN49" s="206"/>
      <c r="AO49" s="206"/>
      <c r="AP49" s="206"/>
      <c r="AQ49" s="206">
        <v>4860694</v>
      </c>
      <c r="AR49" s="206">
        <v>2677562</v>
      </c>
      <c r="AS49" s="206">
        <v>1136376</v>
      </c>
      <c r="AT49" s="206">
        <v>1464902</v>
      </c>
      <c r="AU49" s="206">
        <v>1136376</v>
      </c>
      <c r="AV49" s="227"/>
      <c r="AW49" s="228">
        <f t="shared" si="10"/>
        <v>11275910</v>
      </c>
      <c r="AX49" s="431">
        <f t="shared" si="6"/>
        <v>5539658</v>
      </c>
      <c r="BA49" s="207">
        <v>6201220</v>
      </c>
    </row>
    <row r="50" spans="1:53" ht="12" customHeight="1">
      <c r="A50" s="573">
        <v>17</v>
      </c>
      <c r="B50" s="575" t="s">
        <v>95</v>
      </c>
      <c r="C50" s="576" t="s">
        <v>313</v>
      </c>
      <c r="D50" s="577">
        <f>3665220+1239447</f>
        <v>4904667</v>
      </c>
      <c r="E50" s="578">
        <f>+D50*$E$31</f>
        <v>3433266.9</v>
      </c>
      <c r="F50" s="579">
        <f>+D50*$F$31</f>
        <v>1471400.0999999999</v>
      </c>
      <c r="G50" s="669"/>
      <c r="H50" s="319">
        <f t="shared" si="7"/>
        <v>4904667</v>
      </c>
      <c r="I50" s="154"/>
      <c r="J50" s="12"/>
      <c r="K50" s="154">
        <v>2565654</v>
      </c>
      <c r="L50" s="9"/>
      <c r="M50" s="9"/>
      <c r="N50" s="9"/>
      <c r="O50" s="33">
        <v>867613.05210409255</v>
      </c>
      <c r="P50" s="212"/>
      <c r="Q50" s="33"/>
      <c r="R50" s="33">
        <v>645479.69952910312</v>
      </c>
      <c r="S50" s="33">
        <v>825920.24836680433</v>
      </c>
      <c r="T50" s="21"/>
      <c r="U50" s="68"/>
      <c r="V50" s="206"/>
      <c r="W50" s="206">
        <v>2565654</v>
      </c>
      <c r="X50" s="206"/>
      <c r="Y50" s="206"/>
      <c r="Z50" s="206"/>
      <c r="AA50" s="206"/>
      <c r="AB50" s="206"/>
      <c r="AC50" s="206"/>
      <c r="AD50" s="33">
        <v>645479.69952910312</v>
      </c>
      <c r="AE50" s="206">
        <f>454086+825920</f>
        <v>1280006</v>
      </c>
      <c r="AF50" s="206"/>
      <c r="AG50" s="219">
        <f t="shared" si="8"/>
        <v>4491139.699529103</v>
      </c>
      <c r="AH50" s="124">
        <f t="shared" si="5"/>
        <v>413527.300470897</v>
      </c>
      <c r="AI50" s="170"/>
      <c r="AK50" s="235"/>
      <c r="AL50" s="206"/>
      <c r="AM50" s="206"/>
      <c r="AN50" s="206"/>
      <c r="AO50" s="206"/>
      <c r="AP50" s="206"/>
      <c r="AQ50" s="206">
        <v>2382225.1501972708</v>
      </c>
      <c r="AR50" s="206">
        <v>394580.76473584695</v>
      </c>
      <c r="AS50" s="206">
        <v>394580.76473584695</v>
      </c>
      <c r="AT50" s="206">
        <v>635706.20434333396</v>
      </c>
      <c r="AU50" s="206">
        <v>295648.55543327576</v>
      </c>
      <c r="AV50" s="227"/>
      <c r="AW50" s="228">
        <f t="shared" si="10"/>
        <v>4102741.4394455738</v>
      </c>
      <c r="AX50" s="431">
        <f t="shared" si="6"/>
        <v>388398.26008352917</v>
      </c>
      <c r="AY50" s="170">
        <f>+AX50+AX51+AX52+AX53</f>
        <v>3788770.299999997</v>
      </c>
      <c r="AZ50" s="149">
        <v>1</v>
      </c>
    </row>
    <row r="51" spans="1:53" ht="15">
      <c r="A51" s="573">
        <v>18</v>
      </c>
      <c r="B51" s="575" t="s">
        <v>96</v>
      </c>
      <c r="C51" s="576" t="s">
        <v>313</v>
      </c>
      <c r="D51" s="577">
        <f>25656540+8676130</f>
        <v>34332670</v>
      </c>
      <c r="E51" s="578">
        <f>+D51*$E$31</f>
        <v>24032869</v>
      </c>
      <c r="F51" s="579">
        <f>+D51*$F$31</f>
        <v>10299801</v>
      </c>
      <c r="G51" s="669"/>
      <c r="H51" s="633">
        <f t="shared" si="7"/>
        <v>34332670</v>
      </c>
      <c r="I51" s="634"/>
      <c r="J51" s="635"/>
      <c r="K51" s="634">
        <v>17959578</v>
      </c>
      <c r="L51" s="636"/>
      <c r="M51" s="636"/>
      <c r="N51" s="636"/>
      <c r="O51" s="33">
        <v>6073291.3647286482</v>
      </c>
      <c r="P51" s="638"/>
      <c r="Q51" s="637"/>
      <c r="R51" s="637">
        <v>4518357.896703721</v>
      </c>
      <c r="S51" s="637">
        <v>5781442.7385676317</v>
      </c>
      <c r="T51" s="639"/>
      <c r="U51" s="640"/>
      <c r="V51" s="641"/>
      <c r="W51" s="641">
        <v>17959578</v>
      </c>
      <c r="X51" s="641"/>
      <c r="Y51" s="641"/>
      <c r="Z51" s="641"/>
      <c r="AA51" s="641"/>
      <c r="AB51" s="641"/>
      <c r="AC51" s="641"/>
      <c r="AD51" s="637">
        <v>4518357.896703721</v>
      </c>
      <c r="AE51" s="641">
        <f>3178604+5781443</f>
        <v>8960047</v>
      </c>
      <c r="AF51" s="641"/>
      <c r="AG51" s="642">
        <f t="shared" si="8"/>
        <v>31437982.89670372</v>
      </c>
      <c r="AH51" s="643">
        <f t="shared" si="5"/>
        <v>2894687.1032962799</v>
      </c>
      <c r="AI51" s="170"/>
      <c r="AK51" s="235"/>
      <c r="AL51" s="206"/>
      <c r="AM51" s="206"/>
      <c r="AN51" s="206"/>
      <c r="AO51" s="206"/>
      <c r="AP51" s="206"/>
      <c r="AQ51" s="206">
        <v>16675576.051380895</v>
      </c>
      <c r="AR51" s="206">
        <v>2762065.3531509298</v>
      </c>
      <c r="AS51" s="206">
        <v>2762065.3531509298</v>
      </c>
      <c r="AT51" s="206">
        <v>4449943.4304033434</v>
      </c>
      <c r="AU51" s="206">
        <v>2069542.0490586667</v>
      </c>
      <c r="AV51" s="227"/>
      <c r="AW51" s="228">
        <f t="shared" si="10"/>
        <v>28719192.237144768</v>
      </c>
      <c r="AX51" s="431">
        <f t="shared" si="6"/>
        <v>2718790.6595589519</v>
      </c>
      <c r="AY51" s="207">
        <v>3849077</v>
      </c>
      <c r="AZ51" s="502">
        <f>+(AX50*AZ50)/AY50</f>
        <v>0.10251301328125631</v>
      </c>
      <c r="BA51" s="207">
        <f>+$AT$31*AZ51</f>
        <v>85319.530693723995</v>
      </c>
    </row>
    <row r="52" spans="1:53" ht="15">
      <c r="A52" s="573">
        <v>19</v>
      </c>
      <c r="B52" s="575" t="s">
        <v>97</v>
      </c>
      <c r="C52" s="576" t="s">
        <v>313</v>
      </c>
      <c r="D52" s="577">
        <f>5131620+1735332</f>
        <v>6866952</v>
      </c>
      <c r="E52" s="578">
        <f>+D52*$E$31</f>
        <v>4806866.3999999994</v>
      </c>
      <c r="F52" s="579">
        <f>+D52*$F$31</f>
        <v>2060085.5999999999</v>
      </c>
      <c r="G52" s="669"/>
      <c r="H52" s="319">
        <f t="shared" si="7"/>
        <v>6866952</v>
      </c>
      <c r="I52" s="154"/>
      <c r="J52" s="12"/>
      <c r="K52" s="154">
        <v>3592134</v>
      </c>
      <c r="L52" s="9"/>
      <c r="M52" s="9"/>
      <c r="N52" s="9"/>
      <c r="O52" s="33">
        <v>1214732.1280682753</v>
      </c>
      <c r="P52" s="212"/>
      <c r="Q52" s="33"/>
      <c r="R52" s="33">
        <v>903726.525473924</v>
      </c>
      <c r="S52" s="33">
        <v>1156359.3464577999</v>
      </c>
      <c r="T52" s="21"/>
      <c r="U52" s="68"/>
      <c r="V52" s="206"/>
      <c r="W52" s="206">
        <v>3592134</v>
      </c>
      <c r="X52" s="206"/>
      <c r="Y52" s="206"/>
      <c r="Z52" s="206"/>
      <c r="AA52" s="206"/>
      <c r="AB52" s="206"/>
      <c r="AC52" s="206"/>
      <c r="AD52" s="33">
        <v>903726.525473924</v>
      </c>
      <c r="AE52" s="206">
        <f>635759+1156359</f>
        <v>1792118</v>
      </c>
      <c r="AF52" s="206"/>
      <c r="AG52" s="219">
        <f t="shared" si="8"/>
        <v>6287978.5254739244</v>
      </c>
      <c r="AH52" s="124">
        <f t="shared" si="5"/>
        <v>578973.47452607565</v>
      </c>
      <c r="AI52" s="170"/>
      <c r="AK52" s="235"/>
      <c r="AL52" s="206"/>
      <c r="AM52" s="206"/>
      <c r="AN52" s="206"/>
      <c r="AO52" s="206"/>
      <c r="AP52" s="206"/>
      <c r="AQ52" s="206">
        <v>3335317.9959880491</v>
      </c>
      <c r="AR52" s="206">
        <v>552446.65911835316</v>
      </c>
      <c r="AS52" s="206">
        <v>552446.65911835316</v>
      </c>
      <c r="AT52" s="206">
        <v>890042.8002500115</v>
      </c>
      <c r="AU52" s="206">
        <v>413933.42121059803</v>
      </c>
      <c r="AV52" s="227"/>
      <c r="AW52" s="228">
        <f t="shared" si="10"/>
        <v>5744187.5356853651</v>
      </c>
      <c r="AX52" s="431">
        <f t="shared" si="6"/>
        <v>543790.98978855927</v>
      </c>
      <c r="AZ52" s="502">
        <f>+(AX51*AZ50)/AY50</f>
        <v>0.71759184228163797</v>
      </c>
      <c r="BA52" s="207">
        <f>+$AT$31*AZ52</f>
        <v>597237.33849416161</v>
      </c>
    </row>
    <row r="53" spans="1:53" ht="15">
      <c r="A53" s="573">
        <v>20</v>
      </c>
      <c r="B53" s="575" t="s">
        <v>98</v>
      </c>
      <c r="C53" s="576" t="s">
        <v>313</v>
      </c>
      <c r="D53" s="577">
        <f>1300299+439715</f>
        <v>1740014</v>
      </c>
      <c r="E53" s="578">
        <f>+D53*$E$31</f>
        <v>1218009.7999999998</v>
      </c>
      <c r="F53" s="579">
        <f>+D53*$F$31</f>
        <v>522004.19999999995</v>
      </c>
      <c r="G53" s="669"/>
      <c r="H53" s="319">
        <f t="shared" si="7"/>
        <v>1740014</v>
      </c>
      <c r="I53" s="154"/>
      <c r="J53" s="12"/>
      <c r="K53" s="154">
        <v>910209.29999999993</v>
      </c>
      <c r="L53" s="9"/>
      <c r="M53" s="9"/>
      <c r="N53" s="9"/>
      <c r="O53" s="33">
        <v>307800.45509898436</v>
      </c>
      <c r="P53" s="212"/>
      <c r="Q53" s="33"/>
      <c r="R53" s="33">
        <v>228994.87829325203</v>
      </c>
      <c r="S53" s="33">
        <v>293009.36660776357</v>
      </c>
      <c r="T53" s="21"/>
      <c r="U53" s="68"/>
      <c r="V53" s="206"/>
      <c r="W53" s="206">
        <v>910209.29999999993</v>
      </c>
      <c r="X53" s="206"/>
      <c r="Y53" s="206"/>
      <c r="Z53" s="206"/>
      <c r="AA53" s="206"/>
      <c r="AB53" s="206"/>
      <c r="AC53" s="206"/>
      <c r="AD53" s="33">
        <v>228994.87829325203</v>
      </c>
      <c r="AE53" s="206">
        <f>161094+293009</f>
        <v>454103</v>
      </c>
      <c r="AF53" s="206"/>
      <c r="AG53" s="219">
        <f t="shared" si="8"/>
        <v>1593307.1782932519</v>
      </c>
      <c r="AH53" s="124">
        <f t="shared" si="5"/>
        <v>146706.8217067481</v>
      </c>
      <c r="AI53" s="170"/>
      <c r="AK53" s="235"/>
      <c r="AL53" s="206"/>
      <c r="AM53" s="206"/>
      <c r="AN53" s="206"/>
      <c r="AO53" s="206"/>
      <c r="AP53" s="206"/>
      <c r="AQ53" s="206">
        <v>845134.80243378587</v>
      </c>
      <c r="AR53" s="206">
        <v>139984.22299486998</v>
      </c>
      <c r="AS53" s="206">
        <v>139984.22299486998</v>
      </c>
      <c r="AT53" s="206">
        <v>225527.5650033105</v>
      </c>
      <c r="AU53" s="206">
        <v>104885.97429745905</v>
      </c>
      <c r="AV53" s="227"/>
      <c r="AW53" s="228">
        <f t="shared" si="10"/>
        <v>1455516.7877242954</v>
      </c>
      <c r="AX53" s="431">
        <f t="shared" si="6"/>
        <v>137790.3905689565</v>
      </c>
      <c r="AZ53" s="502">
        <f>+(AX52*AZ50)/AY50</f>
        <v>0.14352704089465643</v>
      </c>
      <c r="BA53" s="207">
        <f>+$AT$31*AZ53</f>
        <v>119454.68559580465</v>
      </c>
    </row>
    <row r="54" spans="1:53" ht="15">
      <c r="A54" s="573">
        <v>21</v>
      </c>
      <c r="B54" s="575" t="s">
        <v>84</v>
      </c>
      <c r="C54" s="576">
        <v>1955</v>
      </c>
      <c r="D54" s="577">
        <v>12338246</v>
      </c>
      <c r="E54" s="578">
        <f>+D54*$E$31</f>
        <v>8636772.1999999993</v>
      </c>
      <c r="F54" s="579">
        <f>+D54*$F$31</f>
        <v>3701473.8</v>
      </c>
      <c r="G54" s="580"/>
      <c r="H54" s="319">
        <f t="shared" si="7"/>
        <v>12338246</v>
      </c>
      <c r="I54" s="154"/>
      <c r="J54" s="12"/>
      <c r="K54" s="154"/>
      <c r="L54" s="9">
        <v>8636772</v>
      </c>
      <c r="M54" s="9"/>
      <c r="N54" s="9"/>
      <c r="O54" s="33"/>
      <c r="P54" s="212"/>
      <c r="Q54" s="33"/>
      <c r="R54" s="33">
        <v>3701474</v>
      </c>
      <c r="S54" s="33"/>
      <c r="T54" s="21"/>
      <c r="U54" s="68"/>
      <c r="V54" s="206"/>
      <c r="W54" s="206"/>
      <c r="X54" s="206">
        <v>8636772</v>
      </c>
      <c r="Y54" s="206"/>
      <c r="Z54" s="206"/>
      <c r="AA54" s="206"/>
      <c r="AB54" s="206"/>
      <c r="AC54" s="206"/>
      <c r="AD54" s="206">
        <v>3701474</v>
      </c>
      <c r="AE54" s="206"/>
      <c r="AF54" s="206"/>
      <c r="AG54" s="219">
        <f t="shared" si="8"/>
        <v>12338246</v>
      </c>
      <c r="AH54" s="124">
        <f t="shared" si="5"/>
        <v>0</v>
      </c>
      <c r="AI54" s="170"/>
      <c r="AK54" s="235"/>
      <c r="AL54" s="206"/>
      <c r="AM54" s="206"/>
      <c r="AN54" s="206"/>
      <c r="AO54" s="206"/>
      <c r="AP54" s="206"/>
      <c r="AQ54" s="206"/>
      <c r="AR54" s="206"/>
      <c r="AS54" s="206"/>
      <c r="AT54" s="206">
        <v>420000</v>
      </c>
      <c r="AU54" s="206">
        <v>1863680</v>
      </c>
      <c r="AV54" s="227"/>
      <c r="AW54" s="228">
        <f t="shared" si="10"/>
        <v>2283680</v>
      </c>
      <c r="AX54" s="431">
        <f t="shared" si="6"/>
        <v>10054566</v>
      </c>
      <c r="AZ54" s="502">
        <f>+(AX53*AZ50)/AY50</f>
        <v>3.6368103542449279E-2</v>
      </c>
      <c r="BA54" s="207">
        <f>+$AT$31*AZ54</f>
        <v>30268.445216309687</v>
      </c>
    </row>
    <row r="55" spans="1:53" ht="15">
      <c r="A55" s="18">
        <v>22</v>
      </c>
      <c r="B55" s="7" t="s">
        <v>85</v>
      </c>
      <c r="C55" s="147"/>
      <c r="D55" s="13"/>
      <c r="E55" s="671"/>
      <c r="F55" s="143"/>
      <c r="G55" s="160"/>
      <c r="H55" s="319">
        <f t="shared" si="7"/>
        <v>0</v>
      </c>
      <c r="I55" s="154"/>
      <c r="J55" s="12"/>
      <c r="K55" s="154"/>
      <c r="L55" s="9"/>
      <c r="M55" s="9"/>
      <c r="N55" s="9"/>
      <c r="O55" s="33"/>
      <c r="P55" s="212"/>
      <c r="Q55" s="33"/>
      <c r="R55" s="33"/>
      <c r="S55" s="33"/>
      <c r="T55" s="21"/>
      <c r="U55" s="68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I55" s="473"/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1">
        <f t="shared" si="6"/>
        <v>0</v>
      </c>
    </row>
    <row r="56" spans="1:53" ht="15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7"/>
        <v>0</v>
      </c>
      <c r="I56" s="154"/>
      <c r="J56" s="12"/>
      <c r="K56" s="154"/>
      <c r="L56" s="9"/>
      <c r="M56" s="9"/>
      <c r="N56" s="9"/>
      <c r="O56" s="33"/>
      <c r="P56" s="212"/>
      <c r="Q56" s="33"/>
      <c r="R56" s="33"/>
      <c r="S56" s="33"/>
      <c r="T56" s="21"/>
      <c r="U56" s="68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1">
        <f t="shared" si="6"/>
        <v>0</v>
      </c>
    </row>
    <row r="57" spans="1:53" ht="15">
      <c r="A57" s="573">
        <v>24</v>
      </c>
      <c r="B57" s="575" t="s">
        <v>87</v>
      </c>
      <c r="C57" s="576">
        <v>1958</v>
      </c>
      <c r="D57" s="577">
        <v>11888809</v>
      </c>
      <c r="E57" s="578">
        <f>+D57*E31</f>
        <v>8322166.2999999998</v>
      </c>
      <c r="F57" s="579">
        <f>+D57*F31</f>
        <v>3566642.6999999997</v>
      </c>
      <c r="G57" s="580"/>
      <c r="H57" s="319">
        <f t="shared" si="7"/>
        <v>11888809</v>
      </c>
      <c r="I57" s="154"/>
      <c r="J57" s="12"/>
      <c r="K57" s="154">
        <v>8322166</v>
      </c>
      <c r="L57" s="9"/>
      <c r="M57" s="9"/>
      <c r="N57" s="9"/>
      <c r="O57" s="33"/>
      <c r="P57" s="212"/>
      <c r="Q57" s="33"/>
      <c r="R57" s="33">
        <v>3566643</v>
      </c>
      <c r="S57" s="33"/>
      <c r="T57" s="21"/>
      <c r="U57" s="68"/>
      <c r="V57" s="206"/>
      <c r="W57" s="206">
        <v>8322166</v>
      </c>
      <c r="X57" s="206"/>
      <c r="Y57" s="206"/>
      <c r="Z57" s="206"/>
      <c r="AA57" s="206"/>
      <c r="AB57" s="206"/>
      <c r="AC57" s="206"/>
      <c r="AD57" s="206">
        <v>3566643</v>
      </c>
      <c r="AE57" s="206"/>
      <c r="AF57" s="206"/>
      <c r="AG57" s="219">
        <f t="shared" si="8"/>
        <v>11888809</v>
      </c>
      <c r="AH57" s="124">
        <f t="shared" si="5"/>
        <v>0</v>
      </c>
      <c r="AK57" s="235"/>
      <c r="AL57" s="206"/>
      <c r="AM57" s="206"/>
      <c r="AN57" s="206"/>
      <c r="AO57" s="206"/>
      <c r="AP57" s="206"/>
      <c r="AQ57" s="206">
        <v>4183518</v>
      </c>
      <c r="AR57" s="206">
        <v>720000</v>
      </c>
      <c r="AS57" s="206">
        <v>960949</v>
      </c>
      <c r="AT57" s="206">
        <v>720000</v>
      </c>
      <c r="AU57" s="206">
        <v>1082984</v>
      </c>
      <c r="AV57" s="227"/>
      <c r="AW57" s="228">
        <f t="shared" si="10"/>
        <v>7667451</v>
      </c>
      <c r="AX57" s="431">
        <f t="shared" si="6"/>
        <v>4221358</v>
      </c>
    </row>
    <row r="58" spans="1:53" s="190" customFormat="1" ht="28.5">
      <c r="A58" s="573">
        <v>25</v>
      </c>
      <c r="B58" s="595" t="s">
        <v>109</v>
      </c>
      <c r="C58" s="603">
        <v>1957</v>
      </c>
      <c r="D58" s="597">
        <v>4628966</v>
      </c>
      <c r="E58" s="598">
        <f>+D58*E31</f>
        <v>3240276.1999999997</v>
      </c>
      <c r="F58" s="599">
        <f>+D58*F31</f>
        <v>1388689.8</v>
      </c>
      <c r="G58" s="600"/>
      <c r="H58" s="319">
        <f t="shared" si="7"/>
        <v>4628966</v>
      </c>
      <c r="I58" s="188"/>
      <c r="J58" s="187"/>
      <c r="K58" s="188">
        <v>3240276</v>
      </c>
      <c r="L58" s="186"/>
      <c r="M58" s="186"/>
      <c r="N58" s="186"/>
      <c r="O58" s="33"/>
      <c r="P58" s="212"/>
      <c r="Q58" s="33"/>
      <c r="R58" s="33">
        <v>1388690</v>
      </c>
      <c r="S58" s="33"/>
      <c r="T58" s="21"/>
      <c r="U58" s="189"/>
      <c r="V58" s="231"/>
      <c r="W58" s="231">
        <v>3240276</v>
      </c>
      <c r="X58" s="231"/>
      <c r="Y58" s="231"/>
      <c r="Z58" s="231"/>
      <c r="AA58" s="231"/>
      <c r="AB58" s="231"/>
      <c r="AC58" s="231"/>
      <c r="AD58" s="231">
        <v>1388690</v>
      </c>
      <c r="AE58" s="231"/>
      <c r="AF58" s="231"/>
      <c r="AG58" s="219">
        <f t="shared" si="8"/>
        <v>4628966</v>
      </c>
      <c r="AH58" s="124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36"/>
      <c r="AW58" s="228">
        <f t="shared" si="10"/>
        <v>0</v>
      </c>
      <c r="AX58" s="431">
        <f t="shared" si="6"/>
        <v>4628966</v>
      </c>
    </row>
    <row r="59" spans="1:53" ht="15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7"/>
        <v>0</v>
      </c>
      <c r="I59" s="154"/>
      <c r="J59" s="12"/>
      <c r="K59" s="154"/>
      <c r="L59" s="9"/>
      <c r="M59" s="9"/>
      <c r="N59" s="9"/>
      <c r="O59" s="33"/>
      <c r="P59" s="212"/>
      <c r="Q59" s="33"/>
      <c r="R59" s="33"/>
      <c r="S59" s="33"/>
      <c r="T59" s="21"/>
      <c r="U59" s="68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6"/>
        <v>0</v>
      </c>
    </row>
    <row r="60" spans="1:53" ht="15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7"/>
        <v>0</v>
      </c>
      <c r="I60" s="154"/>
      <c r="J60" s="12"/>
      <c r="K60" s="154"/>
      <c r="L60" s="9"/>
      <c r="M60" s="9"/>
      <c r="N60" s="9"/>
      <c r="O60" s="33"/>
      <c r="P60" s="212"/>
      <c r="Q60" s="33"/>
      <c r="R60" s="33"/>
      <c r="S60" s="33"/>
      <c r="T60" s="21"/>
      <c r="U60" s="68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1">
        <f t="shared" si="6"/>
        <v>0</v>
      </c>
    </row>
    <row r="61" spans="1:53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7"/>
        <v>0</v>
      </c>
      <c r="I61" s="154"/>
      <c r="J61" s="12"/>
      <c r="K61" s="154"/>
      <c r="L61" s="9"/>
      <c r="M61" s="9"/>
      <c r="N61" s="9"/>
      <c r="O61" s="33"/>
      <c r="P61" s="212"/>
      <c r="Q61" s="33"/>
      <c r="R61" s="33"/>
      <c r="S61" s="33"/>
      <c r="T61" s="21"/>
      <c r="U61" s="68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1">
        <f t="shared" si="6"/>
        <v>0</v>
      </c>
    </row>
    <row r="62" spans="1:53" ht="15">
      <c r="A62" s="18">
        <v>29</v>
      </c>
      <c r="B62" s="7" t="s">
        <v>103</v>
      </c>
      <c r="C62" s="147"/>
      <c r="D62" s="13"/>
      <c r="E62" s="142"/>
      <c r="F62" s="143"/>
      <c r="G62" s="160"/>
      <c r="H62" s="319">
        <f t="shared" si="7"/>
        <v>0</v>
      </c>
      <c r="I62" s="154"/>
      <c r="J62" s="12"/>
      <c r="K62" s="154"/>
      <c r="L62" s="9"/>
      <c r="M62" s="9"/>
      <c r="N62" s="9"/>
      <c r="O62" s="33"/>
      <c r="P62" s="212"/>
      <c r="Q62" s="33"/>
      <c r="R62" s="33"/>
      <c r="S62" s="33"/>
      <c r="T62" s="21"/>
      <c r="U62" s="68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1">
        <f t="shared" si="6"/>
        <v>0</v>
      </c>
    </row>
    <row r="63" spans="1:53" ht="15">
      <c r="A63" s="573">
        <v>30</v>
      </c>
      <c r="B63" s="575" t="s">
        <v>90</v>
      </c>
      <c r="C63" s="576">
        <v>1953</v>
      </c>
      <c r="D63" s="577">
        <v>62265085</v>
      </c>
      <c r="E63" s="578">
        <f>+D63*E31</f>
        <v>43585559.5</v>
      </c>
      <c r="F63" s="579">
        <f>+D63*F31</f>
        <v>18679525.5</v>
      </c>
      <c r="G63" s="580"/>
      <c r="H63" s="319">
        <f t="shared" si="7"/>
        <v>62265085</v>
      </c>
      <c r="I63" s="154"/>
      <c r="J63" s="12"/>
      <c r="K63" s="154">
        <v>43585560</v>
      </c>
      <c r="L63" s="9"/>
      <c r="M63" s="9"/>
      <c r="N63" s="9"/>
      <c r="O63" s="33"/>
      <c r="P63" s="212"/>
      <c r="Q63" s="33"/>
      <c r="R63" s="33">
        <v>18679525</v>
      </c>
      <c r="S63" s="33"/>
      <c r="T63" s="21"/>
      <c r="U63" s="68"/>
      <c r="V63" s="206"/>
      <c r="W63" s="206">
        <v>43585560</v>
      </c>
      <c r="X63" s="206"/>
      <c r="Y63" s="206"/>
      <c r="Z63" s="206"/>
      <c r="AA63" s="206"/>
      <c r="AB63" s="206"/>
      <c r="AC63" s="206"/>
      <c r="AD63" s="206">
        <v>18679525</v>
      </c>
      <c r="AE63" s="206"/>
      <c r="AF63" s="206"/>
      <c r="AG63" s="219">
        <f t="shared" si="8"/>
        <v>62265085</v>
      </c>
      <c r="AH63" s="124">
        <f t="shared" si="5"/>
        <v>0</v>
      </c>
      <c r="AK63" s="235"/>
      <c r="AL63" s="206"/>
      <c r="AM63" s="206"/>
      <c r="AN63" s="206"/>
      <c r="AO63" s="206"/>
      <c r="AP63" s="206"/>
      <c r="AQ63" s="206">
        <v>22892754</v>
      </c>
      <c r="AR63" s="206">
        <v>4488398</v>
      </c>
      <c r="AS63" s="206">
        <v>22011712</v>
      </c>
      <c r="AT63" s="206">
        <v>2051201</v>
      </c>
      <c r="AU63" s="206">
        <v>2051201</v>
      </c>
      <c r="AV63" s="227"/>
      <c r="AW63" s="228">
        <f t="shared" si="10"/>
        <v>53495266</v>
      </c>
      <c r="AX63" s="431">
        <f t="shared" si="6"/>
        <v>8769819</v>
      </c>
    </row>
    <row r="64" spans="1:53" ht="15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7"/>
        <v>0</v>
      </c>
      <c r="I64" s="154"/>
      <c r="J64" s="12"/>
      <c r="K64" s="154"/>
      <c r="L64" s="9"/>
      <c r="M64" s="9"/>
      <c r="N64" s="9"/>
      <c r="O64" s="33"/>
      <c r="P64" s="212"/>
      <c r="Q64" s="33"/>
      <c r="R64" s="33"/>
      <c r="S64" s="33"/>
      <c r="T64" s="21"/>
      <c r="U64" s="68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1">
        <f t="shared" si="6"/>
        <v>0</v>
      </c>
    </row>
    <row r="65" spans="1:50" ht="15">
      <c r="A65" s="573">
        <v>32</v>
      </c>
      <c r="B65" s="575" t="s">
        <v>92</v>
      </c>
      <c r="C65" s="576">
        <v>1365</v>
      </c>
      <c r="D65" s="577">
        <v>2997820</v>
      </c>
      <c r="E65" s="578">
        <f>+D65*E31</f>
        <v>2098474</v>
      </c>
      <c r="F65" s="579">
        <f>+D65*F31</f>
        <v>899346</v>
      </c>
      <c r="G65" s="580"/>
      <c r="H65" s="319">
        <f t="shared" si="7"/>
        <v>2997820</v>
      </c>
      <c r="I65" s="154"/>
      <c r="J65" s="12"/>
      <c r="K65" s="154">
        <v>2098474</v>
      </c>
      <c r="L65" s="9"/>
      <c r="M65" s="9"/>
      <c r="N65" s="9"/>
      <c r="O65" s="33"/>
      <c r="P65" s="212"/>
      <c r="Q65" s="33"/>
      <c r="R65" s="33">
        <v>899346</v>
      </c>
      <c r="S65" s="33"/>
      <c r="T65" s="21"/>
      <c r="U65" s="68"/>
      <c r="V65" s="206"/>
      <c r="W65" s="206">
        <v>2098474</v>
      </c>
      <c r="X65" s="206"/>
      <c r="Y65" s="206"/>
      <c r="Z65" s="206"/>
      <c r="AA65" s="206"/>
      <c r="AB65" s="206"/>
      <c r="AC65" s="206"/>
      <c r="AD65" s="206">
        <v>899346</v>
      </c>
      <c r="AE65" s="206"/>
      <c r="AF65" s="206"/>
      <c r="AG65" s="219">
        <f t="shared" si="8"/>
        <v>2997820</v>
      </c>
      <c r="AH65" s="124">
        <f t="shared" si="5"/>
        <v>0</v>
      </c>
      <c r="AK65" s="235"/>
      <c r="AL65" s="206"/>
      <c r="AM65" s="206"/>
      <c r="AN65" s="206"/>
      <c r="AO65" s="206"/>
      <c r="AP65" s="206"/>
      <c r="AQ65" s="206">
        <v>1602444</v>
      </c>
      <c r="AR65" s="206">
        <v>267074</v>
      </c>
      <c r="AS65" s="206">
        <v>267074</v>
      </c>
      <c r="AT65" s="206">
        <v>267074</v>
      </c>
      <c r="AU65" s="206">
        <v>267074</v>
      </c>
      <c r="AV65" s="227"/>
      <c r="AW65" s="228">
        <f t="shared" si="10"/>
        <v>2670740</v>
      </c>
      <c r="AX65" s="431">
        <f t="shared" si="6"/>
        <v>327080</v>
      </c>
    </row>
    <row r="66" spans="1:50" ht="15">
      <c r="A66" s="18">
        <v>33</v>
      </c>
      <c r="B66" s="52" t="s">
        <v>107</v>
      </c>
      <c r="C66" s="148"/>
      <c r="D66" s="43"/>
      <c r="E66" s="174"/>
      <c r="F66" s="175"/>
      <c r="G66" s="176"/>
      <c r="H66" s="319">
        <f t="shared" si="7"/>
        <v>0</v>
      </c>
      <c r="I66" s="155"/>
      <c r="J66" s="54"/>
      <c r="K66" s="155"/>
      <c r="L66" s="48"/>
      <c r="M66" s="48"/>
      <c r="N66" s="48"/>
      <c r="O66" s="33"/>
      <c r="P66" s="212"/>
      <c r="Q66" s="33"/>
      <c r="R66" s="33"/>
      <c r="S66" s="33"/>
      <c r="T66" s="21"/>
      <c r="U66" s="177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1">
        <f t="shared" si="6"/>
        <v>0</v>
      </c>
    </row>
    <row r="67" spans="1:50" s="652" customFormat="1" ht="30">
      <c r="A67" s="573">
        <v>34</v>
      </c>
      <c r="B67" s="626" t="s">
        <v>180</v>
      </c>
      <c r="C67" s="627" t="s">
        <v>296</v>
      </c>
      <c r="D67" s="628">
        <f>5779488+49102000+25782742+14604962</f>
        <v>95269192</v>
      </c>
      <c r="E67" s="629">
        <v>4045641.5999999996</v>
      </c>
      <c r="F67" s="630">
        <v>1733846.4</v>
      </c>
      <c r="G67" s="631">
        <f>49102000+25782742</f>
        <v>74884742</v>
      </c>
      <c r="H67" s="644">
        <f t="shared" si="7"/>
        <v>95269192</v>
      </c>
      <c r="I67" s="645"/>
      <c r="J67" s="646"/>
      <c r="K67" s="645">
        <v>4045641</v>
      </c>
      <c r="L67" s="647">
        <v>30325759</v>
      </c>
      <c r="M67" s="647">
        <v>20432390</v>
      </c>
      <c r="N67" s="647"/>
      <c r="O67" s="637"/>
      <c r="P67" s="638">
        <v>18047920</v>
      </c>
      <c r="Q67" s="637"/>
      <c r="R67" s="637">
        <f>6792805+2243014-1223299</f>
        <v>7812520</v>
      </c>
      <c r="S67" s="637">
        <v>14604962</v>
      </c>
      <c r="T67" s="639"/>
      <c r="U67" s="648"/>
      <c r="V67" s="649"/>
      <c r="W67" s="649">
        <v>4045641</v>
      </c>
      <c r="X67" s="649">
        <v>30325759</v>
      </c>
      <c r="Y67" s="649">
        <v>20432390</v>
      </c>
      <c r="Z67" s="649"/>
      <c r="AA67" s="649"/>
      <c r="AB67" s="649">
        <v>18047920</v>
      </c>
      <c r="AC67" s="649"/>
      <c r="AD67" s="649">
        <f>6792805+969715</f>
        <v>7762520</v>
      </c>
      <c r="AE67" s="649">
        <f>14604962+50000</f>
        <v>14654962</v>
      </c>
      <c r="AF67" s="649"/>
      <c r="AG67" s="650">
        <f t="shared" si="8"/>
        <v>95269192</v>
      </c>
      <c r="AH67" s="651">
        <f t="shared" si="5"/>
        <v>0</v>
      </c>
      <c r="AI67" s="676">
        <v>1323299</v>
      </c>
      <c r="AK67" s="653"/>
      <c r="AL67" s="649"/>
      <c r="AM67" s="649"/>
      <c r="AN67" s="649"/>
      <c r="AO67" s="649"/>
      <c r="AP67" s="649"/>
      <c r="AQ67" s="649">
        <v>27899395</v>
      </c>
      <c r="AR67" s="649">
        <v>11859856</v>
      </c>
      <c r="AS67" s="649">
        <v>12752969</v>
      </c>
      <c r="AT67" s="649">
        <v>11887783</v>
      </c>
      <c r="AU67" s="649">
        <v>11763731</v>
      </c>
      <c r="AV67" s="654"/>
      <c r="AW67" s="655">
        <f t="shared" si="10"/>
        <v>76163734</v>
      </c>
      <c r="AX67" s="656">
        <f t="shared" si="6"/>
        <v>19105458</v>
      </c>
    </row>
    <row r="68" spans="1:50" s="190" customFormat="1" ht="15">
      <c r="A68" s="573">
        <v>35</v>
      </c>
      <c r="B68" s="626" t="s">
        <v>181</v>
      </c>
      <c r="C68" s="627" t="s">
        <v>140</v>
      </c>
      <c r="D68" s="628">
        <v>1223299</v>
      </c>
      <c r="E68" s="629">
        <f>+D68*E31</f>
        <v>856309.29999999993</v>
      </c>
      <c r="F68" s="630">
        <f>+D68*F31</f>
        <v>366989.7</v>
      </c>
      <c r="G68" s="631"/>
      <c r="H68" s="349">
        <f t="shared" si="7"/>
        <v>1223299</v>
      </c>
      <c r="I68" s="367"/>
      <c r="J68" s="368"/>
      <c r="K68" s="367"/>
      <c r="L68" s="369"/>
      <c r="M68" s="369"/>
      <c r="N68" s="369"/>
      <c r="O68" s="33"/>
      <c r="P68" s="212"/>
      <c r="Q68" s="33"/>
      <c r="R68" s="33">
        <v>1223299</v>
      </c>
      <c r="S68" s="33"/>
      <c r="T68" s="21"/>
      <c r="U68" s="370"/>
      <c r="V68" s="371"/>
      <c r="W68" s="371"/>
      <c r="X68" s="371"/>
      <c r="Y68" s="371"/>
      <c r="Z68" s="371"/>
      <c r="AA68" s="371"/>
      <c r="AB68" s="371"/>
      <c r="AC68" s="371"/>
      <c r="AD68" s="371"/>
      <c r="AE68" s="371">
        <v>1223299</v>
      </c>
      <c r="AF68" s="371"/>
      <c r="AG68" s="359">
        <f t="shared" ref="AG68:AG74" si="11">SUM(U68:AF68)</f>
        <v>1223299</v>
      </c>
      <c r="AH68" s="350">
        <f t="shared" ref="AH68:AH82" si="12">+H68-AG68</f>
        <v>0</v>
      </c>
      <c r="AK68" s="472"/>
      <c r="AL68" s="371"/>
      <c r="AM68" s="371"/>
      <c r="AN68" s="371"/>
      <c r="AO68" s="371"/>
      <c r="AP68" s="371"/>
      <c r="AQ68" s="371"/>
      <c r="AR68" s="371"/>
      <c r="AS68" s="371"/>
      <c r="AT68" s="371"/>
      <c r="AU68" s="371"/>
      <c r="AV68" s="443"/>
      <c r="AW68" s="450">
        <f t="shared" ref="AW68:AW74" si="13">SUM(AK68:AV68)</f>
        <v>0</v>
      </c>
      <c r="AX68" s="431">
        <f t="shared" si="6"/>
        <v>1223299</v>
      </c>
    </row>
    <row r="69" spans="1:50" s="190" customFormat="1" ht="15">
      <c r="A69" s="573">
        <v>36</v>
      </c>
      <c r="B69" s="626" t="s">
        <v>314</v>
      </c>
      <c r="C69" s="627" t="s">
        <v>316</v>
      </c>
      <c r="D69" s="628">
        <v>2460820</v>
      </c>
      <c r="E69" s="629">
        <f>+D69</f>
        <v>2460820</v>
      </c>
      <c r="F69" s="630"/>
      <c r="G69" s="631"/>
      <c r="H69" s="349">
        <f t="shared" si="7"/>
        <v>2460820</v>
      </c>
      <c r="I69" s="367"/>
      <c r="J69" s="368"/>
      <c r="K69" s="367"/>
      <c r="L69" s="369"/>
      <c r="M69" s="369"/>
      <c r="N69" s="369"/>
      <c r="O69" s="33"/>
      <c r="P69" s="212"/>
      <c r="Q69" s="33"/>
      <c r="R69" s="33"/>
      <c r="S69" s="33"/>
      <c r="T69" s="21">
        <v>2460820</v>
      </c>
      <c r="U69" s="370"/>
      <c r="V69" s="371"/>
      <c r="W69" s="371"/>
      <c r="X69" s="371"/>
      <c r="Y69" s="371"/>
      <c r="Z69" s="371"/>
      <c r="AA69" s="371"/>
      <c r="AB69" s="371"/>
      <c r="AC69" s="371"/>
      <c r="AD69" s="371"/>
      <c r="AE69" s="371"/>
      <c r="AF69" s="371">
        <v>2460820</v>
      </c>
      <c r="AG69" s="359">
        <f t="shared" si="11"/>
        <v>2460820</v>
      </c>
      <c r="AH69" s="350">
        <f t="shared" si="12"/>
        <v>0</v>
      </c>
      <c r="AK69" s="472"/>
      <c r="AL69" s="371"/>
      <c r="AM69" s="371"/>
      <c r="AN69" s="371"/>
      <c r="AO69" s="371"/>
      <c r="AP69" s="371"/>
      <c r="AQ69" s="371"/>
      <c r="AR69" s="371"/>
      <c r="AS69" s="371"/>
      <c r="AT69" s="371"/>
      <c r="AU69" s="371"/>
      <c r="AV69" s="443"/>
      <c r="AW69" s="450">
        <f t="shared" si="13"/>
        <v>0</v>
      </c>
      <c r="AX69" s="431">
        <f t="shared" si="6"/>
        <v>2460820</v>
      </c>
    </row>
    <row r="70" spans="1:50" ht="15">
      <c r="A70" s="573">
        <v>37</v>
      </c>
      <c r="B70" s="568" t="s">
        <v>132</v>
      </c>
      <c r="C70" s="569">
        <v>2246</v>
      </c>
      <c r="D70" s="567">
        <v>23845571</v>
      </c>
      <c r="E70" s="563">
        <f>+D70*0.5</f>
        <v>11922785.5</v>
      </c>
      <c r="F70" s="564">
        <f>+D70*0.25</f>
        <v>5961392.75</v>
      </c>
      <c r="G70" s="565">
        <f>+D70*0.25</f>
        <v>5961392.75</v>
      </c>
      <c r="H70" s="349">
        <f t="shared" si="7"/>
        <v>23845571</v>
      </c>
      <c r="I70" s="155"/>
      <c r="J70" s="54"/>
      <c r="K70" s="155"/>
      <c r="L70" s="48"/>
      <c r="M70" s="48">
        <v>11922785</v>
      </c>
      <c r="N70" s="48"/>
      <c r="O70" s="33"/>
      <c r="P70" s="212">
        <v>5961393</v>
      </c>
      <c r="Q70" s="33"/>
      <c r="R70" s="33">
        <v>5961393</v>
      </c>
      <c r="S70" s="33"/>
      <c r="T70" s="21"/>
      <c r="U70" s="177"/>
      <c r="V70" s="210"/>
      <c r="W70" s="210"/>
      <c r="X70" s="210"/>
      <c r="Y70" s="210">
        <v>11922785</v>
      </c>
      <c r="Z70" s="210"/>
      <c r="AA70" s="210"/>
      <c r="AB70" s="210"/>
      <c r="AC70" s="210">
        <v>5961393</v>
      </c>
      <c r="AD70" s="210">
        <v>5961393</v>
      </c>
      <c r="AE70" s="210"/>
      <c r="AF70" s="210"/>
      <c r="AG70" s="359">
        <f t="shared" si="11"/>
        <v>23845571</v>
      </c>
      <c r="AH70" s="350">
        <f t="shared" si="12"/>
        <v>0</v>
      </c>
      <c r="AK70" s="236"/>
      <c r="AL70" s="210"/>
      <c r="AM70" s="210"/>
      <c r="AN70" s="210"/>
      <c r="AO70" s="210"/>
      <c r="AP70" s="210"/>
      <c r="AQ70" s="210">
        <v>9274250</v>
      </c>
      <c r="AR70" s="210">
        <v>1447728</v>
      </c>
      <c r="AS70" s="210">
        <v>1715967</v>
      </c>
      <c r="AT70" s="210">
        <v>1715967</v>
      </c>
      <c r="AU70" s="210">
        <v>1715967</v>
      </c>
      <c r="AV70" s="229"/>
      <c r="AW70" s="450">
        <f t="shared" si="13"/>
        <v>15869879</v>
      </c>
      <c r="AX70" s="431">
        <f t="shared" si="6"/>
        <v>7975692</v>
      </c>
    </row>
    <row r="71" spans="1:50" ht="15">
      <c r="A71" s="573">
        <v>38</v>
      </c>
      <c r="B71" s="568" t="s">
        <v>129</v>
      </c>
      <c r="C71" s="569">
        <v>2794</v>
      </c>
      <c r="D71" s="567">
        <v>2132431</v>
      </c>
      <c r="E71" s="563">
        <f>+D71*E31</f>
        <v>1492701.7</v>
      </c>
      <c r="F71" s="564">
        <f>+D71*F31</f>
        <v>639729.29999999993</v>
      </c>
      <c r="G71" s="565"/>
      <c r="H71" s="349">
        <f t="shared" si="7"/>
        <v>2132431</v>
      </c>
      <c r="I71" s="155"/>
      <c r="J71" s="54"/>
      <c r="K71" s="155"/>
      <c r="L71" s="48"/>
      <c r="M71" s="48">
        <v>1492702</v>
      </c>
      <c r="N71" s="48"/>
      <c r="O71" s="33"/>
      <c r="P71" s="212"/>
      <c r="Q71" s="33"/>
      <c r="R71" s="33"/>
      <c r="S71" s="33">
        <v>639729</v>
      </c>
      <c r="T71" s="21"/>
      <c r="U71" s="177"/>
      <c r="V71" s="210"/>
      <c r="W71" s="210"/>
      <c r="X71" s="210"/>
      <c r="Y71" s="210">
        <v>1492702</v>
      </c>
      <c r="Z71" s="210"/>
      <c r="AA71" s="210"/>
      <c r="AB71" s="210"/>
      <c r="AC71" s="210"/>
      <c r="AD71" s="210"/>
      <c r="AE71" s="210">
        <v>639729</v>
      </c>
      <c r="AF71" s="210"/>
      <c r="AG71" s="359">
        <f t="shared" si="11"/>
        <v>2132431</v>
      </c>
      <c r="AH71" s="350">
        <f t="shared" si="12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450">
        <f t="shared" si="13"/>
        <v>0</v>
      </c>
      <c r="AX71" s="431">
        <f t="shared" si="6"/>
        <v>2132431</v>
      </c>
    </row>
    <row r="72" spans="1:50" ht="15">
      <c r="A72" s="573">
        <v>39</v>
      </c>
      <c r="B72" s="568" t="s">
        <v>133</v>
      </c>
      <c r="C72" s="569">
        <v>2210</v>
      </c>
      <c r="D72" s="567">
        <v>2413260</v>
      </c>
      <c r="E72" s="563">
        <f>+D72*$H$31</f>
        <v>804420</v>
      </c>
      <c r="F72" s="564">
        <f>+D72*$H$31</f>
        <v>804420</v>
      </c>
      <c r="G72" s="565">
        <f>+D72*$H$31</f>
        <v>804420</v>
      </c>
      <c r="H72" s="349">
        <f t="shared" si="7"/>
        <v>2413260</v>
      </c>
      <c r="I72" s="155"/>
      <c r="J72" s="54"/>
      <c r="K72" s="155"/>
      <c r="L72" s="48"/>
      <c r="M72" s="48"/>
      <c r="N72" s="48"/>
      <c r="O72" s="33"/>
      <c r="P72" s="212"/>
      <c r="Q72" s="33"/>
      <c r="R72" s="33">
        <v>2413260</v>
      </c>
      <c r="S72" s="33"/>
      <c r="T72" s="21"/>
      <c r="U72" s="177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359">
        <f t="shared" si="11"/>
        <v>796375.8</v>
      </c>
      <c r="AH72" s="350">
        <f t="shared" si="12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450">
        <f t="shared" si="13"/>
        <v>0</v>
      </c>
      <c r="AX72" s="431">
        <f t="shared" si="6"/>
        <v>796375.8</v>
      </c>
    </row>
    <row r="73" spans="1:50" ht="15">
      <c r="A73" s="18">
        <v>40</v>
      </c>
      <c r="B73" s="52" t="s">
        <v>134</v>
      </c>
      <c r="C73" s="148"/>
      <c r="D73" s="43"/>
      <c r="E73" s="174">
        <f>+D73*$H$31</f>
        <v>0</v>
      </c>
      <c r="F73" s="175">
        <f>+D73*$H$31</f>
        <v>0</v>
      </c>
      <c r="G73" s="176">
        <f>+D73*$H$31</f>
        <v>0</v>
      </c>
      <c r="H73" s="349">
        <f t="shared" si="7"/>
        <v>0</v>
      </c>
      <c r="I73" s="155"/>
      <c r="J73" s="54"/>
      <c r="K73" s="155"/>
      <c r="L73" s="48"/>
      <c r="M73" s="48"/>
      <c r="N73" s="48"/>
      <c r="O73" s="33"/>
      <c r="P73" s="212"/>
      <c r="Q73" s="33"/>
      <c r="R73" s="33"/>
      <c r="S73" s="33"/>
      <c r="T73" s="21"/>
      <c r="U73" s="177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359">
        <f t="shared" si="11"/>
        <v>0</v>
      </c>
      <c r="AH73" s="350">
        <f t="shared" si="12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450">
        <f t="shared" si="13"/>
        <v>0</v>
      </c>
      <c r="AX73" s="431">
        <f t="shared" si="6"/>
        <v>0</v>
      </c>
    </row>
    <row r="74" spans="1:50" ht="15">
      <c r="A74" s="18">
        <v>41</v>
      </c>
      <c r="B74" s="52" t="s">
        <v>135</v>
      </c>
      <c r="C74" s="148"/>
      <c r="D74" s="43"/>
      <c r="E74" s="174">
        <f>+D74*$H$31</f>
        <v>0</v>
      </c>
      <c r="F74" s="175">
        <f>+D74*$H$31</f>
        <v>0</v>
      </c>
      <c r="G74" s="176">
        <f>+D74*$H$31</f>
        <v>0</v>
      </c>
      <c r="H74" s="349">
        <f t="shared" si="7"/>
        <v>0</v>
      </c>
      <c r="I74" s="155"/>
      <c r="J74" s="54"/>
      <c r="K74" s="155"/>
      <c r="L74" s="48"/>
      <c r="M74" s="48"/>
      <c r="N74" s="48"/>
      <c r="O74" s="33"/>
      <c r="P74" s="212"/>
      <c r="Q74" s="33"/>
      <c r="R74" s="33"/>
      <c r="S74" s="33"/>
      <c r="T74" s="21"/>
      <c r="U74" s="177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359">
        <f t="shared" si="11"/>
        <v>0</v>
      </c>
      <c r="AH74" s="350">
        <f t="shared" si="12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450">
        <f t="shared" si="13"/>
        <v>0</v>
      </c>
      <c r="AX74" s="431">
        <f t="shared" si="6"/>
        <v>0</v>
      </c>
    </row>
    <row r="75" spans="1:50" ht="15">
      <c r="A75" s="18">
        <v>42</v>
      </c>
      <c r="B75" s="52" t="s">
        <v>170</v>
      </c>
      <c r="C75" s="148">
        <v>3239</v>
      </c>
      <c r="D75" s="43">
        <v>2422015</v>
      </c>
      <c r="E75" s="720" t="s">
        <v>172</v>
      </c>
      <c r="F75" s="721"/>
      <c r="G75" s="722"/>
      <c r="H75" s="349">
        <f t="shared" si="7"/>
        <v>1695411</v>
      </c>
      <c r="I75" s="155"/>
      <c r="J75" s="54"/>
      <c r="K75" s="155"/>
      <c r="L75" s="48"/>
      <c r="M75" s="48"/>
      <c r="N75" s="48">
        <v>1695411</v>
      </c>
      <c r="O75" s="33"/>
      <c r="P75" s="212"/>
      <c r="Q75" s="33"/>
      <c r="R75" s="33"/>
      <c r="S75" s="33"/>
      <c r="T75" s="21"/>
      <c r="U75" s="177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359">
        <f t="shared" ref="AG75:AG82" si="14">SUM(U75:AF75)</f>
        <v>0</v>
      </c>
      <c r="AH75" s="350">
        <f t="shared" si="12"/>
        <v>1695411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450">
        <f t="shared" ref="AW75:AW82" si="15">SUM(AK75:AV75)</f>
        <v>0</v>
      </c>
      <c r="AX75" s="431">
        <f t="shared" si="6"/>
        <v>0</v>
      </c>
    </row>
    <row r="76" spans="1:50" ht="18" customHeight="1">
      <c r="A76" s="18">
        <v>43</v>
      </c>
      <c r="B76" s="52" t="s">
        <v>173</v>
      </c>
      <c r="C76" s="148">
        <v>3240</v>
      </c>
      <c r="D76" s="43">
        <v>8776350</v>
      </c>
      <c r="E76" s="720" t="s">
        <v>172</v>
      </c>
      <c r="F76" s="721"/>
      <c r="G76" s="722"/>
      <c r="H76" s="349">
        <f t="shared" si="7"/>
        <v>11198521</v>
      </c>
      <c r="I76" s="155"/>
      <c r="J76" s="54"/>
      <c r="K76" s="155"/>
      <c r="L76" s="48"/>
      <c r="M76" s="48"/>
      <c r="N76" s="48">
        <v>6143445</v>
      </c>
      <c r="O76" s="33"/>
      <c r="P76" s="212"/>
      <c r="Q76" s="33">
        <v>2422171</v>
      </c>
      <c r="R76" s="33"/>
      <c r="S76" s="33">
        <v>2632905</v>
      </c>
      <c r="T76" s="21"/>
      <c r="U76" s="177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359">
        <f t="shared" si="14"/>
        <v>0</v>
      </c>
      <c r="AH76" s="350">
        <f t="shared" si="12"/>
        <v>11198521</v>
      </c>
      <c r="AI76" s="170">
        <f>+AH75+AH76</f>
        <v>12893932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450">
        <f t="shared" si="15"/>
        <v>0</v>
      </c>
      <c r="AX76" s="431">
        <f t="shared" si="6"/>
        <v>0</v>
      </c>
    </row>
    <row r="77" spans="1:50" ht="15">
      <c r="A77" s="18">
        <v>44</v>
      </c>
      <c r="B77" s="52" t="s">
        <v>188</v>
      </c>
      <c r="C77" s="148" t="s">
        <v>220</v>
      </c>
      <c r="D77" s="43">
        <v>5621889</v>
      </c>
      <c r="E77" s="479">
        <f>+D77*0.7</f>
        <v>3935322.3</v>
      </c>
      <c r="F77" s="480">
        <f>+D77*0.3</f>
        <v>1686566.7</v>
      </c>
      <c r="G77" s="480"/>
      <c r="H77" s="349">
        <f t="shared" si="7"/>
        <v>3956322</v>
      </c>
      <c r="I77" s="155"/>
      <c r="J77" s="54"/>
      <c r="K77" s="155"/>
      <c r="L77" s="48"/>
      <c r="M77" s="48"/>
      <c r="N77" s="48"/>
      <c r="O77" s="33"/>
      <c r="P77" s="212">
        <v>3956322</v>
      </c>
      <c r="Q77" s="33"/>
      <c r="R77" s="33"/>
      <c r="S77" s="33"/>
      <c r="T77" s="21"/>
      <c r="U77" s="177"/>
      <c r="V77" s="210"/>
      <c r="W77" s="210"/>
      <c r="X77" s="210"/>
      <c r="Y77" s="210"/>
      <c r="Z77" s="210"/>
      <c r="AA77" s="210"/>
      <c r="AB77" s="210">
        <v>3956322</v>
      </c>
      <c r="AC77" s="210"/>
      <c r="AD77" s="210"/>
      <c r="AE77" s="210"/>
      <c r="AF77" s="210"/>
      <c r="AG77" s="359">
        <f t="shared" si="14"/>
        <v>3956322</v>
      </c>
      <c r="AH77" s="350">
        <f t="shared" si="12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>
        <v>8743964</v>
      </c>
      <c r="AT77" s="210"/>
      <c r="AU77" s="210"/>
      <c r="AV77" s="229"/>
      <c r="AW77" s="450">
        <f t="shared" si="15"/>
        <v>8743964</v>
      </c>
      <c r="AX77" s="431">
        <f t="shared" si="6"/>
        <v>-4787642</v>
      </c>
    </row>
    <row r="78" spans="1:50" ht="15">
      <c r="A78" s="18">
        <v>45</v>
      </c>
      <c r="B78" s="52" t="s">
        <v>189</v>
      </c>
      <c r="C78" s="148"/>
      <c r="D78" s="43"/>
      <c r="E78" s="720" t="s">
        <v>172</v>
      </c>
      <c r="F78" s="721"/>
      <c r="G78" s="722"/>
      <c r="H78" s="349">
        <f t="shared" si="7"/>
        <v>0</v>
      </c>
      <c r="I78" s="155"/>
      <c r="J78" s="54"/>
      <c r="K78" s="155"/>
      <c r="L78" s="48"/>
      <c r="M78" s="48"/>
      <c r="N78" s="48"/>
      <c r="O78" s="33"/>
      <c r="P78" s="212"/>
      <c r="Q78" s="33"/>
      <c r="R78" s="33"/>
      <c r="S78" s="33"/>
      <c r="T78" s="21"/>
      <c r="U78" s="177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359">
        <f t="shared" si="14"/>
        <v>0</v>
      </c>
      <c r="AH78" s="350">
        <f t="shared" si="12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450">
        <f t="shared" si="15"/>
        <v>0</v>
      </c>
      <c r="AX78" s="431">
        <f>+AG78-AW78</f>
        <v>0</v>
      </c>
    </row>
    <row r="79" spans="1:50" ht="15">
      <c r="A79" s="573"/>
      <c r="B79" s="568" t="s">
        <v>205</v>
      </c>
      <c r="C79" s="569" t="s">
        <v>206</v>
      </c>
      <c r="D79" s="567">
        <v>15000000</v>
      </c>
      <c r="E79" s="624">
        <f>+D79*0.7</f>
        <v>10500000</v>
      </c>
      <c r="F79" s="625">
        <f>+D79*0.3</f>
        <v>4500000</v>
      </c>
      <c r="G79" s="625"/>
      <c r="H79" s="349">
        <f t="shared" si="7"/>
        <v>15000000</v>
      </c>
      <c r="I79" s="155"/>
      <c r="J79" s="54"/>
      <c r="K79" s="155"/>
      <c r="L79" s="48"/>
      <c r="M79" s="48"/>
      <c r="N79" s="48"/>
      <c r="O79" s="33"/>
      <c r="P79" s="212"/>
      <c r="Q79" s="33">
        <v>10500000</v>
      </c>
      <c r="R79" s="33">
        <v>4500000</v>
      </c>
      <c r="S79" s="33"/>
      <c r="T79" s="21"/>
      <c r="U79" s="177"/>
      <c r="V79" s="210"/>
      <c r="W79" s="210"/>
      <c r="X79" s="210"/>
      <c r="Y79" s="210"/>
      <c r="Z79" s="210"/>
      <c r="AA79" s="210"/>
      <c r="AB79" s="210"/>
      <c r="AC79" s="210">
        <v>10500000</v>
      </c>
      <c r="AD79" s="210">
        <v>4500000</v>
      </c>
      <c r="AE79" s="210"/>
      <c r="AF79" s="210"/>
      <c r="AG79" s="359">
        <f t="shared" si="14"/>
        <v>15000000</v>
      </c>
      <c r="AH79" s="350">
        <f t="shared" si="12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450">
        <f t="shared" si="15"/>
        <v>0</v>
      </c>
      <c r="AX79" s="431">
        <f>+AG79-AW79</f>
        <v>15000000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176"/>
      <c r="H80" s="349">
        <f t="shared" si="7"/>
        <v>0</v>
      </c>
      <c r="I80" s="155"/>
      <c r="J80" s="54"/>
      <c r="K80" s="155"/>
      <c r="L80" s="48"/>
      <c r="M80" s="48"/>
      <c r="N80" s="48"/>
      <c r="O80" s="33"/>
      <c r="P80" s="212"/>
      <c r="Q80" s="33"/>
      <c r="R80" s="33"/>
      <c r="S80" s="33"/>
      <c r="T80" s="21"/>
      <c r="U80" s="177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359">
        <f t="shared" si="14"/>
        <v>0</v>
      </c>
      <c r="AH80" s="350">
        <f t="shared" si="12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450">
        <f t="shared" si="15"/>
        <v>0</v>
      </c>
      <c r="AX80" s="431">
        <f>+AG80-AW80</f>
        <v>0</v>
      </c>
    </row>
    <row r="81" spans="1:50" ht="15">
      <c r="A81" s="621"/>
      <c r="B81" s="568" t="s">
        <v>256</v>
      </c>
      <c r="C81" s="569" t="s">
        <v>268</v>
      </c>
      <c r="D81" s="567">
        <v>2815655</v>
      </c>
      <c r="E81" s="563">
        <f>+D81</f>
        <v>2815655</v>
      </c>
      <c r="F81" s="564"/>
      <c r="G81" s="565"/>
      <c r="H81" s="349">
        <f t="shared" si="7"/>
        <v>2815655</v>
      </c>
      <c r="I81" s="155"/>
      <c r="J81" s="54"/>
      <c r="K81" s="155"/>
      <c r="L81" s="48"/>
      <c r="M81" s="48"/>
      <c r="N81" s="48"/>
      <c r="O81" s="33"/>
      <c r="P81" s="212"/>
      <c r="Q81" s="33"/>
      <c r="R81" s="33">
        <v>2815655</v>
      </c>
      <c r="S81" s="33"/>
      <c r="T81" s="21"/>
      <c r="U81" s="177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359">
        <f t="shared" si="14"/>
        <v>2815655</v>
      </c>
      <c r="AH81" s="350">
        <f t="shared" si="12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450">
        <f t="shared" si="15"/>
        <v>0</v>
      </c>
      <c r="AX81" s="431">
        <f>+AG81-AW81</f>
        <v>2815655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49">
        <f t="shared" si="7"/>
        <v>0</v>
      </c>
      <c r="I82" s="155"/>
      <c r="J82" s="54"/>
      <c r="K82" s="155"/>
      <c r="L82" s="48"/>
      <c r="M82" s="48"/>
      <c r="N82" s="48"/>
      <c r="O82" s="33"/>
      <c r="P82" s="212"/>
      <c r="Q82" s="33"/>
      <c r="R82" s="33"/>
      <c r="S82" s="33"/>
      <c r="T82" s="21"/>
      <c r="U82" s="177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359">
        <f t="shared" si="14"/>
        <v>0</v>
      </c>
      <c r="AH82" s="350">
        <f t="shared" si="12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450">
        <f t="shared" si="15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SUM(D34:D81)</f>
        <v>564905423</v>
      </c>
      <c r="E83" s="86"/>
      <c r="F83" s="87"/>
      <c r="G83" s="88"/>
      <c r="H83" s="342">
        <f t="shared" ref="H83:AG83" si="16">SUM(H34:H82)</f>
        <v>564935423</v>
      </c>
      <c r="I83" s="116">
        <f t="shared" si="16"/>
        <v>0</v>
      </c>
      <c r="J83" s="117">
        <f t="shared" si="16"/>
        <v>0</v>
      </c>
      <c r="K83" s="117">
        <f t="shared" si="16"/>
        <v>179978823.59999999</v>
      </c>
      <c r="L83" s="117">
        <f t="shared" si="16"/>
        <v>45260035</v>
      </c>
      <c r="M83" s="117">
        <f t="shared" si="16"/>
        <v>90611353</v>
      </c>
      <c r="N83" s="117">
        <f t="shared" si="16"/>
        <v>14136360</v>
      </c>
      <c r="O83" s="117">
        <f t="shared" si="16"/>
        <v>14760941.000000002</v>
      </c>
      <c r="P83" s="256">
        <f t="shared" si="16"/>
        <v>34263139</v>
      </c>
      <c r="Q83" s="117">
        <f t="shared" si="16"/>
        <v>25707635</v>
      </c>
      <c r="R83" s="117">
        <f t="shared" si="16"/>
        <v>119226980.7</v>
      </c>
      <c r="S83" s="117">
        <f t="shared" si="16"/>
        <v>32231831.699999999</v>
      </c>
      <c r="T83" s="117">
        <f t="shared" si="16"/>
        <v>8758324</v>
      </c>
      <c r="U83" s="115">
        <f t="shared" si="16"/>
        <v>0</v>
      </c>
      <c r="V83" s="115">
        <f t="shared" si="16"/>
        <v>0</v>
      </c>
      <c r="W83" s="115">
        <f t="shared" si="16"/>
        <v>179978823.59999999</v>
      </c>
      <c r="X83" s="115">
        <f t="shared" si="16"/>
        <v>45260035</v>
      </c>
      <c r="Y83" s="115">
        <f t="shared" si="16"/>
        <v>90611353</v>
      </c>
      <c r="Z83" s="115">
        <f t="shared" si="16"/>
        <v>0</v>
      </c>
      <c r="AA83" s="115">
        <f t="shared" si="16"/>
        <v>6297504</v>
      </c>
      <c r="AB83" s="115">
        <f t="shared" si="16"/>
        <v>34599250</v>
      </c>
      <c r="AC83" s="115">
        <f t="shared" si="16"/>
        <v>29246857</v>
      </c>
      <c r="AD83" s="115">
        <f t="shared" si="16"/>
        <v>110495750.7</v>
      </c>
      <c r="AE83" s="115">
        <f t="shared" si="16"/>
        <v>40346439</v>
      </c>
      <c r="AF83" s="115">
        <f t="shared" si="16"/>
        <v>9554699.8000000007</v>
      </c>
      <c r="AG83" s="115">
        <f t="shared" si="16"/>
        <v>546390712.10000002</v>
      </c>
      <c r="AH83" s="125">
        <f>+H83-AG83</f>
        <v>18544710.899999976</v>
      </c>
      <c r="AK83" s="425">
        <f t="shared" ref="AK83:AX83" si="17">SUM(AK34:AK82)</f>
        <v>0</v>
      </c>
      <c r="AL83" s="424">
        <f t="shared" si="17"/>
        <v>0</v>
      </c>
      <c r="AM83" s="424">
        <f t="shared" si="17"/>
        <v>0</v>
      </c>
      <c r="AN83" s="424">
        <f t="shared" si="17"/>
        <v>0</v>
      </c>
      <c r="AO83" s="424">
        <f t="shared" si="17"/>
        <v>0</v>
      </c>
      <c r="AP83" s="424">
        <f t="shared" si="17"/>
        <v>0</v>
      </c>
      <c r="AQ83" s="424">
        <f t="shared" si="17"/>
        <v>193431710</v>
      </c>
      <c r="AR83" s="424">
        <f t="shared" si="17"/>
        <v>42316230</v>
      </c>
      <c r="AS83" s="424">
        <f t="shared" si="17"/>
        <v>69658061</v>
      </c>
      <c r="AT83" s="424">
        <f t="shared" si="17"/>
        <v>44054169</v>
      </c>
      <c r="AU83" s="424">
        <f t="shared" si="17"/>
        <v>41378350</v>
      </c>
      <c r="AV83" s="433">
        <f t="shared" si="17"/>
        <v>0</v>
      </c>
      <c r="AW83" s="447">
        <f t="shared" si="17"/>
        <v>390838520</v>
      </c>
      <c r="AX83" s="429">
        <f t="shared" si="17"/>
        <v>155552192.10000002</v>
      </c>
    </row>
    <row r="84" spans="1:50" s="376" customFormat="1" ht="15.75" thickBot="1">
      <c r="D84" s="377"/>
      <c r="E84" s="378"/>
      <c r="F84" s="378"/>
      <c r="G84" s="378"/>
      <c r="P84" s="207"/>
      <c r="Q84" s="754" t="s">
        <v>146</v>
      </c>
      <c r="R84" s="755"/>
      <c r="S84" s="755"/>
      <c r="T84" s="755"/>
      <c r="U84" s="397">
        <v>3449856</v>
      </c>
      <c r="V84" s="396">
        <v>3449857</v>
      </c>
      <c r="W84" s="395">
        <v>3449858</v>
      </c>
      <c r="X84" s="396">
        <v>3449859</v>
      </c>
      <c r="Y84" s="395">
        <v>3452148</v>
      </c>
      <c r="Z84" s="396">
        <v>3467821</v>
      </c>
      <c r="AA84" s="395">
        <v>3479948</v>
      </c>
      <c r="AB84" s="396">
        <v>3491819</v>
      </c>
      <c r="AC84" s="395">
        <v>3510150</v>
      </c>
      <c r="AD84" s="396">
        <v>3513780</v>
      </c>
      <c r="AE84" s="395"/>
      <c r="AF84" s="395"/>
      <c r="AG84" s="379"/>
      <c r="AK84" s="207"/>
    </row>
    <row r="85" spans="1:50" ht="15.75" thickBot="1">
      <c r="A85" s="761" t="s">
        <v>94</v>
      </c>
      <c r="B85" s="762"/>
      <c r="C85" s="763"/>
      <c r="D85" s="133">
        <f>+D83+D30</f>
        <v>2884576811</v>
      </c>
      <c r="E85" s="127"/>
      <c r="F85" s="128"/>
      <c r="G85" s="128"/>
      <c r="H85" s="129">
        <f>+H30</f>
        <v>2636105741.0521402</v>
      </c>
      <c r="I85" s="130">
        <f t="shared" ref="I85:AH85" si="18">+I83+I30</f>
        <v>193266462</v>
      </c>
      <c r="J85" s="130">
        <f t="shared" si="18"/>
        <v>193291333</v>
      </c>
      <c r="K85" s="130">
        <f t="shared" si="18"/>
        <v>373262231.64014</v>
      </c>
      <c r="L85" s="130">
        <f t="shared" si="18"/>
        <v>288231509</v>
      </c>
      <c r="M85" s="130">
        <f t="shared" si="18"/>
        <v>283894761</v>
      </c>
      <c r="N85" s="130">
        <f t="shared" si="18"/>
        <v>256524437</v>
      </c>
      <c r="O85" s="130">
        <f t="shared" si="18"/>
        <v>208044349</v>
      </c>
      <c r="P85" s="215">
        <f t="shared" si="18"/>
        <v>227546547</v>
      </c>
      <c r="Q85" s="130">
        <f t="shared" si="18"/>
        <v>390789529</v>
      </c>
      <c r="R85" s="130">
        <f t="shared" si="18"/>
        <v>311682078.69999999</v>
      </c>
      <c r="S85" s="130">
        <f t="shared" si="18"/>
        <v>224686929.69999999</v>
      </c>
      <c r="T85" s="131">
        <f t="shared" si="18"/>
        <v>249820997.01199999</v>
      </c>
      <c r="U85" s="129">
        <f t="shared" si="18"/>
        <v>193305949</v>
      </c>
      <c r="V85" s="215">
        <f t="shared" si="18"/>
        <v>193271995</v>
      </c>
      <c r="W85" s="285">
        <f t="shared" si="18"/>
        <v>373259637.60000002</v>
      </c>
      <c r="X85" s="242">
        <f t="shared" si="18"/>
        <v>288213954</v>
      </c>
      <c r="Y85" s="215">
        <f t="shared" si="18"/>
        <v>283894761</v>
      </c>
      <c r="Z85" s="285">
        <f t="shared" si="18"/>
        <v>242388077</v>
      </c>
      <c r="AA85" s="242">
        <f t="shared" si="18"/>
        <v>199580912</v>
      </c>
      <c r="AB85" s="215">
        <f t="shared" si="18"/>
        <v>227882658</v>
      </c>
      <c r="AC85" s="285">
        <f t="shared" si="18"/>
        <v>394328751</v>
      </c>
      <c r="AD85" s="242">
        <f t="shared" si="18"/>
        <v>302950848.69999999</v>
      </c>
      <c r="AE85" s="215">
        <f t="shared" si="18"/>
        <v>232801537</v>
      </c>
      <c r="AF85" s="285">
        <f t="shared" si="18"/>
        <v>250617372.81200001</v>
      </c>
      <c r="AG85" s="282">
        <f t="shared" si="18"/>
        <v>3182496453.112</v>
      </c>
      <c r="AH85" s="132">
        <f t="shared" si="18"/>
        <v>18544710.940140128</v>
      </c>
      <c r="AW85" s="1">
        <v>349460170</v>
      </c>
    </row>
    <row r="86" spans="1:50">
      <c r="F86" s="299"/>
      <c r="G86" s="298"/>
      <c r="H86" s="170"/>
    </row>
    <row r="87" spans="1:50" ht="15" thickBot="1">
      <c r="D87" s="1"/>
      <c r="E87" s="1"/>
      <c r="F87" s="207"/>
      <c r="G87" s="170">
        <f>+D75-H75</f>
        <v>726604</v>
      </c>
      <c r="H87" s="170"/>
      <c r="R87" s="674">
        <v>2632905</v>
      </c>
      <c r="AW87" s="170">
        <f>+AW83-AW85</f>
        <v>41378350</v>
      </c>
    </row>
    <row r="88" spans="1:50" ht="15.75" thickBot="1">
      <c r="A88" s="273"/>
      <c r="B88" s="758" t="s">
        <v>118</v>
      </c>
      <c r="C88" s="759"/>
      <c r="D88" s="760"/>
      <c r="G88" s="170">
        <f>+D76-H76</f>
        <v>-2422171</v>
      </c>
    </row>
    <row r="89" spans="1:50">
      <c r="A89" s="274" t="s">
        <v>119</v>
      </c>
      <c r="B89" s="708" t="s">
        <v>123</v>
      </c>
      <c r="C89" s="709"/>
      <c r="D89" s="275">
        <f>+U85+V85+W85</f>
        <v>759837581.60000002</v>
      </c>
      <c r="G89" s="170">
        <f>+D77-H77</f>
        <v>1665567</v>
      </c>
    </row>
    <row r="90" spans="1:50">
      <c r="A90" s="276" t="s">
        <v>120</v>
      </c>
      <c r="B90" s="706" t="s">
        <v>124</v>
      </c>
      <c r="C90" s="707"/>
      <c r="D90" s="277">
        <f>+X85+Y85+Z85</f>
        <v>814496792</v>
      </c>
      <c r="X90" s="207">
        <v>814496792</v>
      </c>
    </row>
    <row r="91" spans="1:50">
      <c r="A91" s="276" t="s">
        <v>121</v>
      </c>
      <c r="B91" s="706" t="s">
        <v>125</v>
      </c>
      <c r="C91" s="707"/>
      <c r="D91" s="277">
        <f>+AA85+AB85+AC85</f>
        <v>821792321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786369758.51199996</v>
      </c>
    </row>
    <row r="93" spans="1:50" ht="15.75" customHeight="1" thickBot="1">
      <c r="A93" s="756" t="s">
        <v>117</v>
      </c>
      <c r="B93" s="757"/>
      <c r="C93" s="757"/>
      <c r="D93" s="280">
        <f>SUM(D89:D92)</f>
        <v>3182496453.112</v>
      </c>
    </row>
    <row r="97" spans="2:5" ht="15">
      <c r="B97" s="509" t="s">
        <v>234</v>
      </c>
      <c r="E97" s="1"/>
    </row>
    <row r="98" spans="2:5">
      <c r="B98" s="700" t="s">
        <v>239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/>
    </row>
    <row r="103" spans="2:5" ht="15">
      <c r="C103" s="508" t="s">
        <v>236</v>
      </c>
      <c r="D103" s="6">
        <v>5961393</v>
      </c>
    </row>
    <row r="104" spans="2:5" ht="15">
      <c r="C104" s="508" t="s">
        <v>82</v>
      </c>
      <c r="D104" s="511">
        <v>6297504</v>
      </c>
    </row>
    <row r="105" spans="2:5">
      <c r="D105" s="6">
        <f>SUM(D102:D104)</f>
        <v>12258897</v>
      </c>
      <c r="E105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AX104"/>
  <sheetViews>
    <sheetView topLeftCell="H19" zoomScale="70" zoomScaleNormal="70" workbookViewId="0">
      <selection activeCell="AH50" sqref="AH50:AH53"/>
    </sheetView>
  </sheetViews>
  <sheetFormatPr baseColWidth="10" defaultRowHeight="14.25"/>
  <cols>
    <col min="1" max="1" width="4.85546875" style="1" customWidth="1"/>
    <col min="2" max="2" width="52" style="1" bestFit="1" customWidth="1"/>
    <col min="3" max="3" width="33.5703125" style="1" customWidth="1"/>
    <col min="4" max="4" width="18.85546875" style="6" customWidth="1"/>
    <col min="5" max="5" width="15.28515625" style="4" customWidth="1"/>
    <col min="6" max="6" width="14" style="4" customWidth="1"/>
    <col min="7" max="7" width="14.85546875" style="4" customWidth="1"/>
    <col min="8" max="8" width="21.7109375" style="1" customWidth="1"/>
    <col min="9" max="11" width="19.28515625" style="207" hidden="1" customWidth="1"/>
    <col min="12" max="12" width="18.85546875" style="207" hidden="1" customWidth="1"/>
    <col min="13" max="13" width="19.28515625" style="207" hidden="1" customWidth="1"/>
    <col min="14" max="16" width="17.28515625" style="207" hidden="1" customWidth="1"/>
    <col min="17" max="17" width="19.7109375" style="207" hidden="1" customWidth="1"/>
    <col min="18" max="18" width="19.28515625" style="1" hidden="1" customWidth="1"/>
    <col min="19" max="19" width="19" style="1" customWidth="1"/>
    <col min="20" max="20" width="19.28515625" style="1" customWidth="1"/>
    <col min="21" max="21" width="14" style="207" hidden="1" customWidth="1"/>
    <col min="22" max="22" width="13.85546875" style="207" hidden="1" customWidth="1"/>
    <col min="23" max="23" width="14" style="207" hidden="1" customWidth="1"/>
    <col min="24" max="24" width="17.42578125" style="207" hidden="1" customWidth="1"/>
    <col min="25" max="25" width="14.7109375" style="207" hidden="1" customWidth="1"/>
    <col min="26" max="27" width="17.140625" style="207" hidden="1" customWidth="1"/>
    <col min="28" max="28" width="16.5703125" style="207" hidden="1" customWidth="1"/>
    <col min="29" max="29" width="17.7109375" style="299" hidden="1" customWidth="1"/>
    <col min="30" max="30" width="17.28515625" style="207" hidden="1" customWidth="1"/>
    <col min="31" max="31" width="19.140625" style="207" customWidth="1"/>
    <col min="32" max="32" width="18.28515625" style="207" customWidth="1"/>
    <col min="33" max="33" width="20.140625" style="207" customWidth="1"/>
    <col min="34" max="34" width="19.28515625" style="1" customWidth="1"/>
    <col min="35" max="35" width="15.28515625" style="1" customWidth="1"/>
    <col min="36" max="36" width="11.42578125" style="1" customWidth="1"/>
    <col min="37" max="41" width="11.42578125" style="1" hidden="1" customWidth="1"/>
    <col min="42" max="43" width="12.85546875" style="1" hidden="1" customWidth="1"/>
    <col min="44" max="44" width="13.140625" style="1" hidden="1" customWidth="1"/>
    <col min="45" max="46" width="11.42578125" style="1" hidden="1" customWidth="1"/>
    <col min="47" max="47" width="16.71093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46</v>
      </c>
    </row>
    <row r="11" spans="1:34">
      <c r="B11" s="3" t="s">
        <v>47</v>
      </c>
    </row>
    <row r="12" spans="1:34">
      <c r="B12" s="3" t="s">
        <v>70</v>
      </c>
    </row>
    <row r="13" spans="1:34" ht="15" thickBot="1"/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0" t="s">
        <v>38</v>
      </c>
      <c r="I14" s="711"/>
      <c r="J14" s="711"/>
      <c r="K14" s="711"/>
      <c r="L14" s="711"/>
      <c r="M14" s="711"/>
      <c r="N14" s="747"/>
      <c r="O14" s="713"/>
      <c r="P14" s="713"/>
      <c r="Q14" s="713"/>
      <c r="R14" s="713"/>
      <c r="S14" s="713"/>
      <c r="T14" s="714"/>
      <c r="U14" s="768" t="s">
        <v>39</v>
      </c>
      <c r="V14" s="769"/>
      <c r="W14" s="769"/>
      <c r="X14" s="769"/>
      <c r="Y14" s="769"/>
      <c r="Z14" s="769"/>
      <c r="AA14" s="769"/>
      <c r="AB14" s="769"/>
      <c r="AC14" s="769"/>
      <c r="AD14" s="769"/>
      <c r="AE14" s="769"/>
      <c r="AF14" s="769"/>
      <c r="AG14" s="770"/>
    </row>
    <row r="15" spans="1:34" ht="30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74" t="s">
        <v>21</v>
      </c>
      <c r="S15" s="74" t="s">
        <v>22</v>
      </c>
      <c r="T15" s="75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139399388*12</f>
        <v>1672792656</v>
      </c>
      <c r="E16" s="22"/>
      <c r="F16" s="23"/>
      <c r="G16" s="24"/>
      <c r="H16" s="318">
        <f>SUM(I16:T16)</f>
        <v>1672792656</v>
      </c>
      <c r="I16" s="250">
        <v>139399388</v>
      </c>
      <c r="J16" s="217">
        <v>139399388</v>
      </c>
      <c r="K16" s="217">
        <v>139399388</v>
      </c>
      <c r="L16" s="217">
        <v>139399388</v>
      </c>
      <c r="M16" s="217">
        <v>139399388</v>
      </c>
      <c r="N16" s="217">
        <v>139399388</v>
      </c>
      <c r="O16" s="212">
        <v>139399388</v>
      </c>
      <c r="P16" s="212">
        <v>139399388</v>
      </c>
      <c r="Q16" s="212">
        <v>139399388</v>
      </c>
      <c r="R16" s="33">
        <v>139399388</v>
      </c>
      <c r="S16" s="33">
        <v>139399388</v>
      </c>
      <c r="T16" s="21">
        <v>139399388</v>
      </c>
      <c r="U16" s="234">
        <v>139399388</v>
      </c>
      <c r="V16" s="217">
        <v>139399388</v>
      </c>
      <c r="W16" s="209">
        <v>139399388</v>
      </c>
      <c r="X16" s="217">
        <v>139399388</v>
      </c>
      <c r="Y16" s="209">
        <v>139399388</v>
      </c>
      <c r="Z16" s="217">
        <v>139399388</v>
      </c>
      <c r="AA16" s="209">
        <v>139399388</v>
      </c>
      <c r="AB16" s="209">
        <v>139399388</v>
      </c>
      <c r="AC16" s="517">
        <v>139399388</v>
      </c>
      <c r="AD16" s="209">
        <v>139399388</v>
      </c>
      <c r="AE16" s="209">
        <v>139399388</v>
      </c>
      <c r="AF16" s="225">
        <v>139399388</v>
      </c>
      <c r="AG16" s="226">
        <f>SUM(U16:AF16)</f>
        <v>1672792656</v>
      </c>
      <c r="AH16" s="123">
        <f t="shared" ref="AH16:AH30" si="0">+H16-AG16</f>
        <v>0</v>
      </c>
    </row>
    <row r="17" spans="1:48" ht="15" hidden="1">
      <c r="A17" s="11">
        <v>2</v>
      </c>
      <c r="B17" s="7" t="s">
        <v>27</v>
      </c>
      <c r="C17" s="147" t="s">
        <v>29</v>
      </c>
      <c r="D17" s="13"/>
      <c r="E17" s="15"/>
      <c r="F17" s="14"/>
      <c r="G17" s="16"/>
      <c r="H17" s="318">
        <f t="shared" ref="H17:H29" si="1">SUM(I17:T17)</f>
        <v>0</v>
      </c>
      <c r="I17" s="252"/>
      <c r="J17" s="217">
        <v>0</v>
      </c>
      <c r="K17" s="206"/>
      <c r="L17" s="217">
        <v>0</v>
      </c>
      <c r="M17" s="217">
        <v>0</v>
      </c>
      <c r="N17" s="217">
        <v>0</v>
      </c>
      <c r="O17" s="206">
        <v>0</v>
      </c>
      <c r="P17" s="206">
        <v>0</v>
      </c>
      <c r="Q17" s="206">
        <v>0</v>
      </c>
      <c r="R17" s="9">
        <v>0</v>
      </c>
      <c r="S17" s="9">
        <v>0</v>
      </c>
      <c r="T17" s="13">
        <v>0</v>
      </c>
      <c r="U17" s="235">
        <v>0</v>
      </c>
      <c r="V17" s="217">
        <v>0</v>
      </c>
      <c r="W17" s="206"/>
      <c r="X17" s="217">
        <v>0</v>
      </c>
      <c r="Y17" s="206">
        <v>0</v>
      </c>
      <c r="Z17" s="217">
        <v>0</v>
      </c>
      <c r="AA17" s="206">
        <v>0</v>
      </c>
      <c r="AB17" s="206">
        <v>0</v>
      </c>
      <c r="AC17" s="172">
        <v>0</v>
      </c>
      <c r="AD17" s="206">
        <v>0</v>
      </c>
      <c r="AE17" s="206">
        <v>0</v>
      </c>
      <c r="AF17" s="227">
        <v>0</v>
      </c>
      <c r="AG17" s="228">
        <f t="shared" ref="AG17:AG28" si="2">SUM(U17:AF17)</f>
        <v>0</v>
      </c>
      <c r="AH17" s="124">
        <f t="shared" si="0"/>
        <v>0</v>
      </c>
    </row>
    <row r="18" spans="1:48" ht="15">
      <c r="A18" s="11">
        <v>3</v>
      </c>
      <c r="B18" s="7" t="s">
        <v>28</v>
      </c>
      <c r="C18" s="147" t="s">
        <v>29</v>
      </c>
      <c r="D18" s="13">
        <f>-142044*12</f>
        <v>-1704528</v>
      </c>
      <c r="E18" s="15"/>
      <c r="F18" s="14"/>
      <c r="G18" s="16"/>
      <c r="H18" s="318">
        <f t="shared" si="1"/>
        <v>-1704528</v>
      </c>
      <c r="I18" s="252">
        <v>-142044</v>
      </c>
      <c r="J18" s="217">
        <v>-142044</v>
      </c>
      <c r="K18" s="217">
        <v>-142044</v>
      </c>
      <c r="L18" s="217">
        <v>-142044</v>
      </c>
      <c r="M18" s="217">
        <v>-142044</v>
      </c>
      <c r="N18" s="217">
        <v>-142044</v>
      </c>
      <c r="O18" s="206">
        <v>-142044</v>
      </c>
      <c r="P18" s="206">
        <v>-142044</v>
      </c>
      <c r="Q18" s="206">
        <v>-142044</v>
      </c>
      <c r="R18" s="9">
        <v>-142044</v>
      </c>
      <c r="S18" s="9">
        <v>-142044</v>
      </c>
      <c r="T18" s="13">
        <v>-142044</v>
      </c>
      <c r="U18" s="235">
        <v>-142044</v>
      </c>
      <c r="V18" s="217">
        <v>-142044</v>
      </c>
      <c r="W18" s="217">
        <v>-142044</v>
      </c>
      <c r="X18" s="217">
        <v>-142044</v>
      </c>
      <c r="Y18" s="206">
        <v>-142044</v>
      </c>
      <c r="Z18" s="217">
        <v>-142044</v>
      </c>
      <c r="AA18" s="206">
        <v>-142044</v>
      </c>
      <c r="AB18" s="206">
        <v>-142044</v>
      </c>
      <c r="AC18" s="172">
        <v>-142044</v>
      </c>
      <c r="AD18" s="206">
        <v>-142044</v>
      </c>
      <c r="AE18" s="206">
        <v>-142044</v>
      </c>
      <c r="AF18" s="227">
        <v>-142044</v>
      </c>
      <c r="AG18" s="228">
        <f t="shared" si="2"/>
        <v>-1704528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+H19</f>
        <v>-8929221</v>
      </c>
      <c r="E19" s="15"/>
      <c r="F19" s="14"/>
      <c r="G19" s="16"/>
      <c r="H19" s="318">
        <f t="shared" si="1"/>
        <v>-8929221</v>
      </c>
      <c r="I19" s="252"/>
      <c r="J19" s="217">
        <v>-1407826</v>
      </c>
      <c r="K19" s="217">
        <v>-703913</v>
      </c>
      <c r="L19" s="217">
        <v>-703913</v>
      </c>
      <c r="M19" s="217">
        <v>-703913</v>
      </c>
      <c r="N19" s="217">
        <v>-703913</v>
      </c>
      <c r="O19" s="206">
        <v>-703913</v>
      </c>
      <c r="P19" s="206">
        <v>-703913</v>
      </c>
      <c r="Q19" s="206">
        <v>-703913</v>
      </c>
      <c r="R19" s="9">
        <v>-864668</v>
      </c>
      <c r="S19" s="9">
        <v>-864668</v>
      </c>
      <c r="T19" s="13">
        <v>-864668</v>
      </c>
      <c r="U19" s="235"/>
      <c r="V19" s="217">
        <v>-1407826</v>
      </c>
      <c r="W19" s="217">
        <v>-703913</v>
      </c>
      <c r="X19" s="217">
        <v>-703913</v>
      </c>
      <c r="Y19" s="206">
        <v>-703913</v>
      </c>
      <c r="Z19" s="217">
        <v>-703913</v>
      </c>
      <c r="AA19" s="206">
        <v>-703913</v>
      </c>
      <c r="AB19" s="206">
        <v>-703913</v>
      </c>
      <c r="AC19" s="172">
        <v>-703913</v>
      </c>
      <c r="AD19" s="206">
        <v>-864668</v>
      </c>
      <c r="AE19" s="206">
        <v>-864668</v>
      </c>
      <c r="AF19" s="227">
        <v>-864668</v>
      </c>
      <c r="AG19" s="228">
        <f t="shared" si="2"/>
        <v>-8929221</v>
      </c>
      <c r="AH19" s="124">
        <f t="shared" si="0"/>
        <v>0</v>
      </c>
    </row>
    <row r="20" spans="1:48" ht="29.25" hidden="1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18">
        <f t="shared" si="1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9"/>
      <c r="S20" s="9"/>
      <c r="T20" s="13"/>
      <c r="U20" s="235"/>
      <c r="V20" s="217">
        <v>0</v>
      </c>
      <c r="W20" s="206"/>
      <c r="X20" s="206"/>
      <c r="Y20" s="206"/>
      <c r="Z20" s="206"/>
      <c r="AA20" s="206"/>
      <c r="AB20" s="206"/>
      <c r="AC20" s="172"/>
      <c r="AD20" s="206"/>
      <c r="AE20" s="206"/>
      <c r="AF20" s="227"/>
      <c r="AG20" s="228">
        <f t="shared" si="2"/>
        <v>0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/>
      <c r="E21" s="15"/>
      <c r="F21" s="14"/>
      <c r="G21" s="16"/>
      <c r="H21" s="318">
        <f t="shared" si="1"/>
        <v>292577</v>
      </c>
      <c r="I21" s="252"/>
      <c r="J21" s="217">
        <v>0</v>
      </c>
      <c r="K21" s="206"/>
      <c r="L21" s="206"/>
      <c r="M21" s="206"/>
      <c r="N21" s="206"/>
      <c r="O21" s="206"/>
      <c r="P21" s="206"/>
      <c r="Q21" s="206"/>
      <c r="R21" s="9"/>
      <c r="S21" s="9"/>
      <c r="T21" s="13">
        <v>292577</v>
      </c>
      <c r="U21" s="235"/>
      <c r="V21" s="217">
        <v>0</v>
      </c>
      <c r="W21" s="206"/>
      <c r="X21" s="206"/>
      <c r="Y21" s="206"/>
      <c r="Z21" s="206"/>
      <c r="AA21" s="206"/>
      <c r="AB21" s="206"/>
      <c r="AC21" s="172"/>
      <c r="AD21" s="206"/>
      <c r="AE21" s="206"/>
      <c r="AF21" s="227">
        <v>292577</v>
      </c>
      <c r="AG21" s="228">
        <f t="shared" si="2"/>
        <v>292577</v>
      </c>
      <c r="AH21" s="124">
        <f t="shared" si="0"/>
        <v>0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18">
        <f t="shared" si="1"/>
        <v>49940676</v>
      </c>
      <c r="I22" s="252"/>
      <c r="J22" s="217"/>
      <c r="K22" s="206"/>
      <c r="L22" s="217">
        <v>12283298</v>
      </c>
      <c r="M22" s="206"/>
      <c r="N22" s="217">
        <v>12530372</v>
      </c>
      <c r="O22" s="206"/>
      <c r="P22" s="206"/>
      <c r="Q22" s="206">
        <v>12470329</v>
      </c>
      <c r="R22" s="9"/>
      <c r="S22" s="9"/>
      <c r="T22" s="13">
        <v>12656677</v>
      </c>
      <c r="U22" s="235"/>
      <c r="V22" s="217"/>
      <c r="W22" s="206"/>
      <c r="X22" s="65">
        <v>12283298</v>
      </c>
      <c r="Y22" s="206"/>
      <c r="Z22" s="65">
        <v>12530372</v>
      </c>
      <c r="AA22" s="206"/>
      <c r="AB22" s="206"/>
      <c r="AC22" s="172">
        <v>12470329</v>
      </c>
      <c r="AD22" s="206"/>
      <c r="AE22" s="206"/>
      <c r="AF22" s="227">
        <v>12656677</v>
      </c>
      <c r="AG22" s="228">
        <f>SUM(U22:AF22)</f>
        <v>49940676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18">
        <f t="shared" si="1"/>
        <v>57698432</v>
      </c>
      <c r="I23" s="252"/>
      <c r="J23" s="217"/>
      <c r="K23" s="206"/>
      <c r="L23" s="217">
        <v>14191379</v>
      </c>
      <c r="M23" s="206"/>
      <c r="N23" s="217">
        <v>14476833</v>
      </c>
      <c r="O23" s="206"/>
      <c r="P23" s="206"/>
      <c r="Q23" s="206">
        <v>14407463</v>
      </c>
      <c r="R23" s="9"/>
      <c r="S23" s="9"/>
      <c r="T23" s="13">
        <v>14622757</v>
      </c>
      <c r="U23" s="235"/>
      <c r="V23" s="217"/>
      <c r="W23" s="206"/>
      <c r="X23" s="65">
        <v>14191379</v>
      </c>
      <c r="Y23" s="206"/>
      <c r="Z23" s="65">
        <v>14476833</v>
      </c>
      <c r="AA23" s="206"/>
      <c r="AB23" s="206"/>
      <c r="AC23" s="172">
        <v>14407463</v>
      </c>
      <c r="AD23" s="206"/>
      <c r="AE23" s="206"/>
      <c r="AF23" s="227">
        <v>14622757</v>
      </c>
      <c r="AG23" s="228">
        <f>SUM(U23:AF23)</f>
        <v>57698432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173414*12</f>
        <v>2080968</v>
      </c>
      <c r="E24" s="15"/>
      <c r="F24" s="14"/>
      <c r="G24" s="16"/>
      <c r="H24" s="318">
        <f t="shared" si="1"/>
        <v>2080968</v>
      </c>
      <c r="I24" s="252">
        <v>173414</v>
      </c>
      <c r="J24" s="217">
        <v>173414</v>
      </c>
      <c r="K24" s="206">
        <v>173414</v>
      </c>
      <c r="L24" s="217">
        <v>173414</v>
      </c>
      <c r="M24" s="217">
        <v>173414</v>
      </c>
      <c r="N24" s="217">
        <v>173414</v>
      </c>
      <c r="O24" s="206">
        <v>173414</v>
      </c>
      <c r="P24" s="206">
        <v>173414</v>
      </c>
      <c r="Q24" s="206">
        <v>173414</v>
      </c>
      <c r="R24" s="9">
        <v>173414</v>
      </c>
      <c r="S24" s="9">
        <v>173414</v>
      </c>
      <c r="T24" s="13">
        <v>173414</v>
      </c>
      <c r="U24" s="235">
        <v>173414</v>
      </c>
      <c r="V24" s="217">
        <v>173414</v>
      </c>
      <c r="W24" s="206">
        <v>173414</v>
      </c>
      <c r="X24" s="65">
        <v>173414</v>
      </c>
      <c r="Y24" s="206">
        <v>173414</v>
      </c>
      <c r="Z24" s="65">
        <v>173414</v>
      </c>
      <c r="AA24" s="206">
        <v>173414</v>
      </c>
      <c r="AB24" s="206">
        <v>173414</v>
      </c>
      <c r="AC24" s="172">
        <v>173414</v>
      </c>
      <c r="AD24" s="206">
        <v>173414</v>
      </c>
      <c r="AE24" s="206">
        <v>173414</v>
      </c>
      <c r="AF24" s="227">
        <v>173414</v>
      </c>
      <c r="AG24" s="228">
        <f t="shared" si="2"/>
        <v>2080968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18">
        <f t="shared" si="1"/>
        <v>0</v>
      </c>
      <c r="I25" s="252"/>
      <c r="J25" s="217">
        <v>0</v>
      </c>
      <c r="K25" s="206"/>
      <c r="L25" s="206"/>
      <c r="M25" s="206"/>
      <c r="N25" s="206"/>
      <c r="O25" s="206"/>
      <c r="P25" s="206"/>
      <c r="Q25" s="206"/>
      <c r="R25" s="9"/>
      <c r="S25" s="9"/>
      <c r="T25" s="13"/>
      <c r="U25" s="235"/>
      <c r="V25" s="217">
        <v>0</v>
      </c>
      <c r="W25" s="206"/>
      <c r="X25" s="206"/>
      <c r="Y25" s="206"/>
      <c r="Z25" s="206"/>
      <c r="AA25" s="206"/>
      <c r="AB25" s="206"/>
      <c r="AC25" s="172"/>
      <c r="AD25" s="206"/>
      <c r="AE25" s="206"/>
      <c r="AF25" s="227"/>
      <c r="AG25" s="228">
        <f t="shared" si="2"/>
        <v>0</v>
      </c>
      <c r="AH25" s="124">
        <f t="shared" si="0"/>
        <v>0</v>
      </c>
    </row>
    <row r="26" spans="1:48" ht="15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8">
        <f t="shared" si="1"/>
        <v>0</v>
      </c>
      <c r="I26" s="252"/>
      <c r="J26" s="217"/>
      <c r="K26" s="206"/>
      <c r="L26" s="206"/>
      <c r="M26" s="206"/>
      <c r="N26" s="206"/>
      <c r="O26" s="206"/>
      <c r="P26" s="206"/>
      <c r="Q26" s="206"/>
      <c r="R26" s="9"/>
      <c r="S26" s="9"/>
      <c r="T26" s="13"/>
      <c r="U26" s="235"/>
      <c r="V26" s="217"/>
      <c r="W26" s="206"/>
      <c r="X26" s="206"/>
      <c r="Y26" s="206"/>
      <c r="Z26" s="206"/>
      <c r="AA26" s="206"/>
      <c r="AB26" s="206"/>
      <c r="AC26" s="172"/>
      <c r="AD26" s="206"/>
      <c r="AE26" s="206"/>
      <c r="AF26" s="227"/>
      <c r="AG26" s="228">
        <f t="shared" si="2"/>
        <v>0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8">
        <f t="shared" si="1"/>
        <v>11574356</v>
      </c>
      <c r="I27" s="252"/>
      <c r="J27" s="217"/>
      <c r="K27" s="206"/>
      <c r="L27" s="206"/>
      <c r="M27" s="206"/>
      <c r="N27" s="206"/>
      <c r="O27" s="206"/>
      <c r="P27" s="206"/>
      <c r="Q27" s="206">
        <v>11574356</v>
      </c>
      <c r="R27" s="9"/>
      <c r="S27" s="9"/>
      <c r="T27" s="13"/>
      <c r="U27" s="235"/>
      <c r="V27" s="217"/>
      <c r="W27" s="206"/>
      <c r="X27" s="206"/>
      <c r="Y27" s="206"/>
      <c r="Z27" s="206"/>
      <c r="AA27" s="206"/>
      <c r="AB27" s="206"/>
      <c r="AC27" s="526">
        <v>11574356</v>
      </c>
      <c r="AD27" s="206"/>
      <c r="AE27" s="206"/>
      <c r="AF27" s="227"/>
      <c r="AG27" s="228">
        <f t="shared" si="2"/>
        <v>11574356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8">
        <f t="shared" si="1"/>
        <v>11048249</v>
      </c>
      <c r="I28" s="252"/>
      <c r="J28" s="217"/>
      <c r="K28" s="206"/>
      <c r="L28" s="206"/>
      <c r="M28" s="206"/>
      <c r="N28" s="206"/>
      <c r="O28" s="206"/>
      <c r="P28" s="206"/>
      <c r="Q28" s="206">
        <v>11048249</v>
      </c>
      <c r="R28" s="9"/>
      <c r="S28" s="9"/>
      <c r="T28" s="13"/>
      <c r="U28" s="235"/>
      <c r="V28" s="217"/>
      <c r="W28" s="206"/>
      <c r="X28" s="206"/>
      <c r="Y28" s="206"/>
      <c r="Z28" s="206"/>
      <c r="AA28" s="206"/>
      <c r="AB28" s="206"/>
      <c r="AC28" s="526">
        <v>11048249</v>
      </c>
      <c r="AD28" s="206"/>
      <c r="AE28" s="206"/>
      <c r="AF28" s="227"/>
      <c r="AG28" s="228">
        <f t="shared" si="2"/>
        <v>11048249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18">
        <f t="shared" si="1"/>
        <v>12309676.788669318</v>
      </c>
      <c r="I29" s="252"/>
      <c r="J29" s="217"/>
      <c r="K29" s="206"/>
      <c r="L29" s="206"/>
      <c r="M29" s="206"/>
      <c r="N29" s="206"/>
      <c r="O29" s="206"/>
      <c r="P29" s="206"/>
      <c r="Q29" s="206"/>
      <c r="R29" s="9"/>
      <c r="S29" s="9">
        <v>12309676.788669318</v>
      </c>
      <c r="T29" s="13"/>
      <c r="U29" s="235"/>
      <c r="V29" s="217"/>
      <c r="W29" s="206"/>
      <c r="X29" s="206"/>
      <c r="Y29" s="206"/>
      <c r="Z29" s="206"/>
      <c r="AA29" s="206"/>
      <c r="AB29" s="206"/>
      <c r="AC29" s="526"/>
      <c r="AD29" s="206"/>
      <c r="AE29" s="206">
        <v>12309676.788669318</v>
      </c>
      <c r="AF29" s="227"/>
      <c r="AG29" s="228">
        <f>SUM(U29:AF29)</f>
        <v>12309676.788669318</v>
      </c>
      <c r="AH29" s="124">
        <f>+H29-AG29</f>
        <v>0</v>
      </c>
    </row>
    <row r="30" spans="1:48" ht="15.75" thickBot="1">
      <c r="A30" s="743" t="s">
        <v>36</v>
      </c>
      <c r="B30" s="744"/>
      <c r="C30" s="89"/>
      <c r="D30" s="90">
        <f>SUM(D16:D26)</f>
        <v>1664239875</v>
      </c>
      <c r="E30" s="91"/>
      <c r="F30" s="92"/>
      <c r="G30" s="93"/>
      <c r="H30" s="320">
        <f>SUM(H16:H28)</f>
        <v>1794794165</v>
      </c>
      <c r="I30" s="363">
        <f>SUM(I16:I28)</f>
        <v>139430758</v>
      </c>
      <c r="J30" s="363">
        <f t="shared" ref="J30:O30" si="3">SUM(J16:J28)</f>
        <v>138022932</v>
      </c>
      <c r="K30" s="363">
        <f t="shared" si="3"/>
        <v>138726845</v>
      </c>
      <c r="L30" s="363">
        <f t="shared" si="3"/>
        <v>165201522</v>
      </c>
      <c r="M30" s="363">
        <f t="shared" si="3"/>
        <v>138726845</v>
      </c>
      <c r="N30" s="363">
        <f t="shared" si="3"/>
        <v>165734050</v>
      </c>
      <c r="O30" s="363">
        <f t="shared" si="3"/>
        <v>138726845</v>
      </c>
      <c r="P30" s="363">
        <f t="shared" ref="P30:AF30" si="4">SUM(P16:P28)</f>
        <v>138726845</v>
      </c>
      <c r="Q30" s="363">
        <f t="shared" si="4"/>
        <v>188227242</v>
      </c>
      <c r="R30" s="311">
        <f t="shared" si="4"/>
        <v>138566090</v>
      </c>
      <c r="S30" s="311">
        <f t="shared" si="4"/>
        <v>138566090</v>
      </c>
      <c r="T30" s="311">
        <f t="shared" si="4"/>
        <v>166138101</v>
      </c>
      <c r="U30" s="211">
        <f t="shared" si="4"/>
        <v>139430758</v>
      </c>
      <c r="V30" s="211">
        <f t="shared" si="4"/>
        <v>138022932</v>
      </c>
      <c r="W30" s="211">
        <f t="shared" si="4"/>
        <v>138726845</v>
      </c>
      <c r="X30" s="211">
        <f t="shared" si="4"/>
        <v>165201522</v>
      </c>
      <c r="Y30" s="211">
        <f t="shared" si="4"/>
        <v>138726845</v>
      </c>
      <c r="Z30" s="211">
        <f t="shared" si="4"/>
        <v>165734050</v>
      </c>
      <c r="AA30" s="211">
        <f t="shared" si="4"/>
        <v>138726845</v>
      </c>
      <c r="AB30" s="211">
        <f t="shared" si="4"/>
        <v>138726845</v>
      </c>
      <c r="AC30" s="518">
        <f t="shared" si="4"/>
        <v>188227242</v>
      </c>
      <c r="AD30" s="211">
        <f t="shared" si="4"/>
        <v>138566090</v>
      </c>
      <c r="AE30" s="211">
        <f t="shared" si="4"/>
        <v>138566090</v>
      </c>
      <c r="AF30" s="211">
        <f t="shared" si="4"/>
        <v>166138101</v>
      </c>
      <c r="AG30" s="339">
        <f>SUM(U30:AF30)</f>
        <v>1794794165</v>
      </c>
      <c r="AH30" s="119">
        <f t="shared" si="0"/>
        <v>0</v>
      </c>
    </row>
    <row r="31" spans="1:48" ht="15" thickBot="1">
      <c r="D31" s="265">
        <v>1832635</v>
      </c>
      <c r="E31" s="5">
        <v>0.7</v>
      </c>
      <c r="F31" s="5">
        <v>0.3</v>
      </c>
      <c r="G31" s="5"/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0" t="s">
        <v>38</v>
      </c>
      <c r="I32" s="711"/>
      <c r="J32" s="711"/>
      <c r="K32" s="711"/>
      <c r="L32" s="711"/>
      <c r="M32" s="711"/>
      <c r="N32" s="712"/>
      <c r="O32" s="713"/>
      <c r="P32" s="713"/>
      <c r="Q32" s="713"/>
      <c r="R32" s="713"/>
      <c r="S32" s="713"/>
      <c r="T32" s="714"/>
      <c r="U32" s="768" t="s">
        <v>39</v>
      </c>
      <c r="V32" s="769"/>
      <c r="W32" s="769"/>
      <c r="X32" s="769"/>
      <c r="Y32" s="769"/>
      <c r="Z32" s="769"/>
      <c r="AA32" s="769"/>
      <c r="AB32" s="769"/>
      <c r="AC32" s="769"/>
      <c r="AD32" s="769"/>
      <c r="AE32" s="769"/>
      <c r="AF32" s="769"/>
      <c r="AG32" s="770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0" ht="30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74" t="s">
        <v>21</v>
      </c>
      <c r="S33" s="74" t="s">
        <v>22</v>
      </c>
      <c r="T33" s="75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0" ht="15.75" thickBot="1">
      <c r="A34" s="573">
        <v>1</v>
      </c>
      <c r="B34" s="608" t="s">
        <v>99</v>
      </c>
      <c r="C34" s="615">
        <v>1358</v>
      </c>
      <c r="D34" s="610">
        <v>333438</v>
      </c>
      <c r="E34" s="611">
        <f>+D34*$E$31</f>
        <v>233406.59999999998</v>
      </c>
      <c r="F34" s="612">
        <f>+D34*$F$31</f>
        <v>100031.4</v>
      </c>
      <c r="G34" s="613"/>
      <c r="H34" s="327">
        <f>SUM(I34:T34)</f>
        <v>333438</v>
      </c>
      <c r="I34" s="331"/>
      <c r="J34" s="249"/>
      <c r="K34" s="250">
        <v>233406.59999999998</v>
      </c>
      <c r="L34" s="212"/>
      <c r="M34" s="212"/>
      <c r="N34" s="212"/>
      <c r="O34" s="212"/>
      <c r="P34" s="212"/>
      <c r="Q34" s="212"/>
      <c r="R34" s="33">
        <v>100031.4</v>
      </c>
      <c r="S34" s="33"/>
      <c r="T34" s="21"/>
      <c r="U34" s="234"/>
      <c r="V34" s="220"/>
      <c r="W34" s="209">
        <v>233406.59999999998</v>
      </c>
      <c r="X34" s="209"/>
      <c r="Y34" s="209"/>
      <c r="Z34" s="209"/>
      <c r="AA34" s="209"/>
      <c r="AB34" s="209"/>
      <c r="AC34" s="517"/>
      <c r="AD34" s="209">
        <v>100031.4</v>
      </c>
      <c r="AE34" s="209"/>
      <c r="AF34" s="209"/>
      <c r="AG34" s="218">
        <f>SUM(U34:AF34)</f>
        <v>333438</v>
      </c>
      <c r="AH34" s="123">
        <f t="shared" ref="AH34:AH67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333438</v>
      </c>
    </row>
    <row r="35" spans="1:50" ht="15">
      <c r="A35" s="573">
        <v>2</v>
      </c>
      <c r="B35" s="608" t="s">
        <v>100</v>
      </c>
      <c r="C35" s="615">
        <v>1358</v>
      </c>
      <c r="D35" s="610">
        <v>10261944</v>
      </c>
      <c r="E35" s="583">
        <f>+D35*$E$31</f>
        <v>7183360.7999999998</v>
      </c>
      <c r="F35" s="584">
        <f>+D35*$F$31</f>
        <v>3078583.1999999997</v>
      </c>
      <c r="G35" s="614"/>
      <c r="H35" s="319">
        <f>SUM(I35:T35)</f>
        <v>10261944</v>
      </c>
      <c r="I35" s="250"/>
      <c r="J35" s="251"/>
      <c r="K35" s="250">
        <v>7183360.7999999998</v>
      </c>
      <c r="L35" s="212"/>
      <c r="M35" s="212"/>
      <c r="N35" s="212"/>
      <c r="O35" s="212"/>
      <c r="P35" s="212"/>
      <c r="Q35" s="212"/>
      <c r="R35" s="33">
        <v>3078583.1999999997</v>
      </c>
      <c r="S35" s="33"/>
      <c r="T35" s="21"/>
      <c r="U35" s="237"/>
      <c r="V35" s="217"/>
      <c r="W35" s="212">
        <v>7183360.7999999998</v>
      </c>
      <c r="X35" s="212"/>
      <c r="Y35" s="212"/>
      <c r="Z35" s="212"/>
      <c r="AA35" s="212"/>
      <c r="AB35" s="212"/>
      <c r="AC35" s="519"/>
      <c r="AD35" s="212">
        <v>3078583.1999999997</v>
      </c>
      <c r="AE35" s="212"/>
      <c r="AF35" s="212"/>
      <c r="AG35" s="218">
        <f>SUM(U35:AF35)</f>
        <v>10261944</v>
      </c>
      <c r="AH35" s="123">
        <f t="shared" si="5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1">
        <f t="shared" ref="AX35:AX77" si="6">+AG35-AW35</f>
        <v>10261944</v>
      </c>
    </row>
    <row r="36" spans="1:50" ht="15">
      <c r="A36" s="18">
        <v>3</v>
      </c>
      <c r="B36" s="7" t="s">
        <v>74</v>
      </c>
      <c r="C36" s="147"/>
      <c r="D36" s="13"/>
      <c r="E36" s="142"/>
      <c r="F36" s="143"/>
      <c r="G36" s="160"/>
      <c r="H36" s="319">
        <f t="shared" ref="H36:H82" si="7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33"/>
      <c r="S36" s="33"/>
      <c r="T36" s="21"/>
      <c r="U36" s="235"/>
      <c r="V36" s="217"/>
      <c r="W36" s="206"/>
      <c r="X36" s="206"/>
      <c r="Y36" s="206"/>
      <c r="Z36" s="206"/>
      <c r="AA36" s="206"/>
      <c r="AB36" s="206"/>
      <c r="AC36" s="172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1">
        <f t="shared" si="6"/>
        <v>0</v>
      </c>
    </row>
    <row r="37" spans="1:50" ht="15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33"/>
      <c r="S37" s="33"/>
      <c r="T37" s="21"/>
      <c r="U37" s="235"/>
      <c r="V37" s="217"/>
      <c r="W37" s="206"/>
      <c r="X37" s="206"/>
      <c r="Y37" s="206"/>
      <c r="Z37" s="206"/>
      <c r="AA37" s="206"/>
      <c r="AB37" s="206"/>
      <c r="AC37" s="172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1">
        <f t="shared" si="6"/>
        <v>0</v>
      </c>
    </row>
    <row r="38" spans="1:50" ht="15">
      <c r="A38" s="573">
        <v>5</v>
      </c>
      <c r="B38" s="575" t="s">
        <v>101</v>
      </c>
      <c r="C38" s="576" t="s">
        <v>186</v>
      </c>
      <c r="D38" s="577">
        <f>16874679</f>
        <v>16874679</v>
      </c>
      <c r="E38" s="578">
        <f>+D38*$E$31</f>
        <v>11812275.299999999</v>
      </c>
      <c r="F38" s="579">
        <f>+D38*$F$31</f>
        <v>5062403.7</v>
      </c>
      <c r="G38" s="580"/>
      <c r="H38" s="319">
        <f t="shared" si="7"/>
        <v>16874679</v>
      </c>
      <c r="I38" s="252"/>
      <c r="J38" s="251"/>
      <c r="K38" s="252">
        <v>11812275.299999999</v>
      </c>
      <c r="L38" s="206"/>
      <c r="M38" s="206"/>
      <c r="N38" s="206"/>
      <c r="O38" s="212"/>
      <c r="P38" s="212"/>
      <c r="Q38" s="212"/>
      <c r="R38" s="33">
        <v>5062403.7</v>
      </c>
      <c r="S38" s="33"/>
      <c r="T38" s="21"/>
      <c r="U38" s="235"/>
      <c r="V38" s="217"/>
      <c r="W38" s="206">
        <v>11812275.299999999</v>
      </c>
      <c r="X38" s="206"/>
      <c r="Y38" s="206"/>
      <c r="Z38" s="206"/>
      <c r="AA38" s="206"/>
      <c r="AB38" s="206"/>
      <c r="AC38" s="172"/>
      <c r="AD38" s="206">
        <v>5062403.7</v>
      </c>
      <c r="AE38" s="206"/>
      <c r="AF38" s="206"/>
      <c r="AG38" s="219">
        <f>SUM(U38:AF38)</f>
        <v>16874679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>SUM(AK38:AV38)</f>
        <v>0</v>
      </c>
      <c r="AX38" s="431">
        <f t="shared" si="6"/>
        <v>16874679</v>
      </c>
    </row>
    <row r="39" spans="1:50" ht="15">
      <c r="A39" s="573">
        <v>6</v>
      </c>
      <c r="B39" s="575" t="s">
        <v>102</v>
      </c>
      <c r="C39" s="576" t="s">
        <v>186</v>
      </c>
      <c r="D39" s="577">
        <v>643500</v>
      </c>
      <c r="E39" s="578">
        <f>+D39*$E$31</f>
        <v>450450</v>
      </c>
      <c r="F39" s="579">
        <f>+D39*$F$31</f>
        <v>193050</v>
      </c>
      <c r="G39" s="580"/>
      <c r="H39" s="319">
        <f t="shared" si="7"/>
        <v>643500</v>
      </c>
      <c r="I39" s="252"/>
      <c r="J39" s="251"/>
      <c r="K39" s="252">
        <v>450450</v>
      </c>
      <c r="L39" s="206"/>
      <c r="M39" s="206"/>
      <c r="N39" s="206"/>
      <c r="O39" s="212"/>
      <c r="P39" s="212"/>
      <c r="Q39" s="212"/>
      <c r="R39" s="33">
        <v>193050</v>
      </c>
      <c r="S39" s="33"/>
      <c r="T39" s="21"/>
      <c r="U39" s="235"/>
      <c r="V39" s="217"/>
      <c r="W39" s="206">
        <v>450450</v>
      </c>
      <c r="X39" s="206"/>
      <c r="Y39" s="206"/>
      <c r="Z39" s="206"/>
      <c r="AA39" s="206"/>
      <c r="AB39" s="206"/>
      <c r="AC39" s="172"/>
      <c r="AD39" s="206">
        <v>193050</v>
      </c>
      <c r="AE39" s="206"/>
      <c r="AF39" s="206"/>
      <c r="AG39" s="219">
        <f t="shared" ref="AG39:AG48" si="8">SUM(U39:AF39)</f>
        <v>643500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ref="AW39:AW45" si="9">SUM(AK39:AV39)</f>
        <v>0</v>
      </c>
      <c r="AX39" s="431">
        <f t="shared" si="6"/>
        <v>643500</v>
      </c>
    </row>
    <row r="40" spans="1:50" ht="15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33"/>
      <c r="S40" s="33"/>
      <c r="T40" s="21"/>
      <c r="U40" s="235"/>
      <c r="V40" s="217"/>
      <c r="W40" s="206"/>
      <c r="X40" s="206"/>
      <c r="Y40" s="206"/>
      <c r="Z40" s="206"/>
      <c r="AA40" s="206"/>
      <c r="AB40" s="206"/>
      <c r="AC40" s="172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1">
        <f t="shared" si="6"/>
        <v>0</v>
      </c>
    </row>
    <row r="41" spans="1:50" ht="15">
      <c r="A41" s="18">
        <v>8</v>
      </c>
      <c r="B41" s="7" t="s">
        <v>76</v>
      </c>
      <c r="C41" s="147"/>
      <c r="D41" s="13"/>
      <c r="E41" s="142"/>
      <c r="F41" s="143"/>
      <c r="G41" s="160"/>
      <c r="H41" s="319">
        <f t="shared" si="7"/>
        <v>0</v>
      </c>
      <c r="I41" s="252"/>
      <c r="J41" s="251"/>
      <c r="K41" s="252"/>
      <c r="L41" s="206"/>
      <c r="M41" s="206"/>
      <c r="N41" s="206"/>
      <c r="O41" s="212"/>
      <c r="P41" s="212"/>
      <c r="Q41" s="212"/>
      <c r="R41" s="33"/>
      <c r="S41" s="33"/>
      <c r="T41" s="21"/>
      <c r="U41" s="235"/>
      <c r="V41" s="217"/>
      <c r="W41" s="206"/>
      <c r="X41" s="206"/>
      <c r="Y41" s="206"/>
      <c r="Z41" s="206"/>
      <c r="AA41" s="206"/>
      <c r="AB41" s="206"/>
      <c r="AC41" s="172"/>
      <c r="AD41" s="206"/>
      <c r="AE41" s="206"/>
      <c r="AF41" s="206"/>
      <c r="AG41" s="219">
        <f t="shared" si="8"/>
        <v>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9"/>
        <v>0</v>
      </c>
      <c r="AX41" s="431">
        <f t="shared" si="6"/>
        <v>0</v>
      </c>
    </row>
    <row r="42" spans="1:50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33"/>
      <c r="S42" s="33"/>
      <c r="T42" s="21"/>
      <c r="U42" s="235"/>
      <c r="V42" s="217"/>
      <c r="W42" s="206"/>
      <c r="X42" s="206"/>
      <c r="Y42" s="206"/>
      <c r="Z42" s="206"/>
      <c r="AA42" s="206"/>
      <c r="AB42" s="206"/>
      <c r="AC42" s="172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6"/>
        <v>0</v>
      </c>
    </row>
    <row r="43" spans="1:50" ht="15">
      <c r="A43" s="18">
        <v>10</v>
      </c>
      <c r="B43" s="7" t="s">
        <v>104</v>
      </c>
      <c r="C43" s="147"/>
      <c r="D43" s="13"/>
      <c r="E43" s="142"/>
      <c r="F43" s="143"/>
      <c r="G43" s="160"/>
      <c r="H43" s="319">
        <f t="shared" si="7"/>
        <v>0</v>
      </c>
      <c r="I43" s="252"/>
      <c r="J43" s="251"/>
      <c r="K43" s="252"/>
      <c r="L43" s="206"/>
      <c r="M43" s="206"/>
      <c r="N43" s="206"/>
      <c r="O43" s="212"/>
      <c r="P43" s="212"/>
      <c r="Q43" s="212"/>
      <c r="R43" s="33"/>
      <c r="S43" s="33"/>
      <c r="T43" s="21"/>
      <c r="U43" s="235"/>
      <c r="V43" s="217"/>
      <c r="W43" s="206"/>
      <c r="X43" s="206"/>
      <c r="Y43" s="206"/>
      <c r="Z43" s="206"/>
      <c r="AA43" s="206"/>
      <c r="AB43" s="206"/>
      <c r="AC43" s="172"/>
      <c r="AD43" s="206"/>
      <c r="AE43" s="206"/>
      <c r="AF43" s="206"/>
      <c r="AG43" s="219">
        <f t="shared" si="8"/>
        <v>0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9"/>
        <v>0</v>
      </c>
      <c r="AX43" s="431">
        <f t="shared" si="6"/>
        <v>0</v>
      </c>
    </row>
    <row r="44" spans="1:50" ht="15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7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33"/>
      <c r="S44" s="33"/>
      <c r="T44" s="21"/>
      <c r="U44" s="235"/>
      <c r="V44" s="217"/>
      <c r="W44" s="206"/>
      <c r="X44" s="206"/>
      <c r="Y44" s="206"/>
      <c r="Z44" s="206"/>
      <c r="AA44" s="206"/>
      <c r="AB44" s="206"/>
      <c r="AC44" s="172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1">
        <f t="shared" si="6"/>
        <v>0</v>
      </c>
    </row>
    <row r="45" spans="1:50" s="190" customFormat="1" ht="15">
      <c r="A45" s="573">
        <v>12</v>
      </c>
      <c r="B45" s="618" t="s">
        <v>79</v>
      </c>
      <c r="C45" s="603">
        <v>1844</v>
      </c>
      <c r="D45" s="597">
        <v>19066710</v>
      </c>
      <c r="E45" s="598">
        <f>+D45*E31</f>
        <v>13346697</v>
      </c>
      <c r="F45" s="599">
        <f>+D45*F31</f>
        <v>5720013</v>
      </c>
      <c r="G45" s="600"/>
      <c r="H45" s="319">
        <f t="shared" si="7"/>
        <v>19066710</v>
      </c>
      <c r="I45" s="253"/>
      <c r="J45" s="232"/>
      <c r="K45" s="253">
        <v>13346697</v>
      </c>
      <c r="L45" s="231"/>
      <c r="M45" s="231"/>
      <c r="N45" s="231"/>
      <c r="O45" s="212"/>
      <c r="P45" s="212"/>
      <c r="Q45" s="212"/>
      <c r="R45" s="33">
        <v>5720013</v>
      </c>
      <c r="S45" s="33"/>
      <c r="T45" s="21"/>
      <c r="U45" s="238"/>
      <c r="V45" s="230"/>
      <c r="W45" s="231">
        <v>13346697</v>
      </c>
      <c r="X45" s="231"/>
      <c r="Y45" s="231"/>
      <c r="Z45" s="231"/>
      <c r="AA45" s="231"/>
      <c r="AB45" s="231"/>
      <c r="AC45" s="192"/>
      <c r="AD45" s="231">
        <v>5720013</v>
      </c>
      <c r="AE45" s="231"/>
      <c r="AF45" s="231"/>
      <c r="AG45" s="219">
        <f t="shared" si="8"/>
        <v>19066710</v>
      </c>
      <c r="AH45" s="124">
        <f t="shared" si="5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/>
      <c r="AU45" s="231"/>
      <c r="AV45" s="436"/>
      <c r="AW45" s="228">
        <f t="shared" si="9"/>
        <v>0</v>
      </c>
      <c r="AX45" s="431">
        <f t="shared" si="6"/>
        <v>19066710</v>
      </c>
    </row>
    <row r="46" spans="1:50" ht="15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33"/>
      <c r="S46" s="33"/>
      <c r="T46" s="21"/>
      <c r="U46" s="239">
        <f>SUM(U34:U45)</f>
        <v>0</v>
      </c>
      <c r="V46" s="213">
        <f>SUM(V34:V45)</f>
        <v>0</v>
      </c>
      <c r="W46" s="213"/>
      <c r="X46" s="213">
        <f>SUM(X34:X45)</f>
        <v>0</v>
      </c>
      <c r="Y46" s="213">
        <f>SUM(Y34:Y45)</f>
        <v>0</v>
      </c>
      <c r="Z46" s="213"/>
      <c r="AA46" s="213"/>
      <c r="AB46" s="213"/>
      <c r="AC46" s="520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6"/>
        <v>0</v>
      </c>
    </row>
    <row r="47" spans="1:50" ht="15">
      <c r="A47" s="573">
        <v>14</v>
      </c>
      <c r="B47" s="575" t="s">
        <v>81</v>
      </c>
      <c r="C47" s="576">
        <v>1843</v>
      </c>
      <c r="D47" s="577">
        <v>27156880</v>
      </c>
      <c r="E47" s="578">
        <f>+D47*E31</f>
        <v>19009816</v>
      </c>
      <c r="F47" s="579">
        <f>+D47*F31</f>
        <v>8147064</v>
      </c>
      <c r="G47" s="580"/>
      <c r="H47" s="319">
        <f t="shared" si="7"/>
        <v>27156880</v>
      </c>
      <c r="I47" s="252"/>
      <c r="J47" s="221"/>
      <c r="K47" s="252">
        <v>19009816</v>
      </c>
      <c r="L47" s="206"/>
      <c r="M47" s="206"/>
      <c r="N47" s="206"/>
      <c r="O47" s="212"/>
      <c r="P47" s="212"/>
      <c r="Q47" s="212"/>
      <c r="R47" s="33">
        <v>8147064</v>
      </c>
      <c r="S47" s="33"/>
      <c r="T47" s="21"/>
      <c r="U47" s="235"/>
      <c r="V47" s="206"/>
      <c r="W47" s="206">
        <v>19009816</v>
      </c>
      <c r="X47" s="206"/>
      <c r="Y47" s="206"/>
      <c r="Z47" s="206"/>
      <c r="AA47" s="206"/>
      <c r="AB47" s="206"/>
      <c r="AC47" s="172"/>
      <c r="AD47" s="206">
        <v>8147064</v>
      </c>
      <c r="AE47" s="206"/>
      <c r="AF47" s="206"/>
      <c r="AG47" s="219">
        <f t="shared" si="8"/>
        <v>27156880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>
        <v>3992000</v>
      </c>
      <c r="AS47" s="206"/>
      <c r="AT47" s="206"/>
      <c r="AU47" s="206"/>
      <c r="AV47" s="227"/>
      <c r="AW47" s="228">
        <f t="shared" ref="AW47:AW67" si="10">SUM(AK47:AV47)</f>
        <v>3992000</v>
      </c>
      <c r="AX47" s="431">
        <f t="shared" si="6"/>
        <v>23164880</v>
      </c>
    </row>
    <row r="48" spans="1:50" ht="15">
      <c r="A48" s="18">
        <v>15</v>
      </c>
      <c r="B48" s="7" t="s">
        <v>82</v>
      </c>
      <c r="C48" s="147"/>
      <c r="D48" s="13"/>
      <c r="E48" s="142"/>
      <c r="F48" s="143"/>
      <c r="G48" s="160"/>
      <c r="H48" s="319">
        <f t="shared" si="7"/>
        <v>0</v>
      </c>
      <c r="I48" s="252"/>
      <c r="J48" s="221"/>
      <c r="K48" s="252"/>
      <c r="L48" s="206"/>
      <c r="M48" s="206"/>
      <c r="N48" s="206"/>
      <c r="O48" s="212"/>
      <c r="P48" s="212"/>
      <c r="Q48" s="212"/>
      <c r="R48" s="33"/>
      <c r="S48" s="33"/>
      <c r="T48" s="21"/>
      <c r="U48" s="235"/>
      <c r="V48" s="206"/>
      <c r="W48" s="206"/>
      <c r="X48" s="206"/>
      <c r="Y48" s="206"/>
      <c r="Z48" s="206"/>
      <c r="AA48" s="206"/>
      <c r="AB48" s="206"/>
      <c r="AC48" s="172"/>
      <c r="AD48" s="206"/>
      <c r="AE48" s="206"/>
      <c r="AF48" s="206"/>
      <c r="AG48" s="219">
        <f t="shared" si="8"/>
        <v>0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1">
        <f t="shared" si="6"/>
        <v>0</v>
      </c>
    </row>
    <row r="49" spans="1:50" ht="15">
      <c r="A49" s="573">
        <v>16</v>
      </c>
      <c r="B49" s="575" t="s">
        <v>83</v>
      </c>
      <c r="C49" s="576">
        <v>1845</v>
      </c>
      <c r="D49" s="577">
        <v>16815568</v>
      </c>
      <c r="E49" s="578">
        <f>+D49*E31</f>
        <v>11770897.6</v>
      </c>
      <c r="F49" s="579">
        <f>+D49*F31</f>
        <v>5044670.3999999994</v>
      </c>
      <c r="G49" s="580"/>
      <c r="H49" s="319">
        <f t="shared" si="7"/>
        <v>16815567.600000001</v>
      </c>
      <c r="I49" s="252"/>
      <c r="J49" s="221"/>
      <c r="K49" s="252">
        <v>11770897.6</v>
      </c>
      <c r="L49" s="206"/>
      <c r="M49" s="206"/>
      <c r="N49" s="206"/>
      <c r="O49" s="212"/>
      <c r="P49" s="212"/>
      <c r="Q49" s="212"/>
      <c r="R49" s="33">
        <v>5044670</v>
      </c>
      <c r="S49" s="33"/>
      <c r="T49" s="21"/>
      <c r="U49" s="235"/>
      <c r="V49" s="206"/>
      <c r="W49" s="206">
        <v>11770898</v>
      </c>
      <c r="X49" s="206"/>
      <c r="Y49" s="206"/>
      <c r="Z49" s="206"/>
      <c r="AA49" s="206"/>
      <c r="AB49" s="206"/>
      <c r="AC49" s="172"/>
      <c r="AD49" s="206"/>
      <c r="AE49" s="206">
        <v>5044670</v>
      </c>
      <c r="AF49" s="206"/>
      <c r="AG49" s="219">
        <f t="shared" ref="AG49:AG67" si="11">SUM(U49:AF49)</f>
        <v>16815568</v>
      </c>
      <c r="AH49" s="124">
        <f t="shared" si="5"/>
        <v>-0.39999999850988388</v>
      </c>
      <c r="AK49" s="235"/>
      <c r="AL49" s="206"/>
      <c r="AM49" s="206"/>
      <c r="AN49" s="206"/>
      <c r="AO49" s="206"/>
      <c r="AP49" s="206"/>
      <c r="AQ49" s="206"/>
      <c r="AR49" s="206">
        <v>8250384</v>
      </c>
      <c r="AS49" s="206"/>
      <c r="AT49" s="206"/>
      <c r="AU49" s="206"/>
      <c r="AV49" s="227"/>
      <c r="AW49" s="228">
        <f t="shared" si="10"/>
        <v>8250384</v>
      </c>
      <c r="AX49" s="431">
        <f t="shared" si="6"/>
        <v>8565184</v>
      </c>
    </row>
    <row r="50" spans="1:50" ht="15">
      <c r="A50" s="18">
        <v>17</v>
      </c>
      <c r="B50" s="7" t="s">
        <v>95</v>
      </c>
      <c r="C50" s="147">
        <v>1241</v>
      </c>
      <c r="D50" s="13">
        <v>916305</v>
      </c>
      <c r="E50" s="142">
        <f>+D50*$E$31</f>
        <v>641413.5</v>
      </c>
      <c r="F50" s="143">
        <f>+D50*$F$31</f>
        <v>274891.5</v>
      </c>
      <c r="G50" s="670"/>
      <c r="H50" s="319">
        <f t="shared" si="7"/>
        <v>916305</v>
      </c>
      <c r="I50" s="252"/>
      <c r="J50" s="221"/>
      <c r="K50" s="252">
        <v>641413.5</v>
      </c>
      <c r="L50" s="206"/>
      <c r="M50" s="206"/>
      <c r="N50" s="206"/>
      <c r="O50" s="212"/>
      <c r="P50" s="212"/>
      <c r="Q50" s="212"/>
      <c r="R50" s="33">
        <v>146824.77867186759</v>
      </c>
      <c r="S50" s="33">
        <v>128066.72132813244</v>
      </c>
      <c r="T50" s="21"/>
      <c r="U50" s="235"/>
      <c r="V50" s="206"/>
      <c r="W50" s="206">
        <v>641413.5</v>
      </c>
      <c r="X50" s="206"/>
      <c r="Y50" s="206"/>
      <c r="Z50" s="206"/>
      <c r="AA50" s="206"/>
      <c r="AB50" s="206"/>
      <c r="AC50" s="172"/>
      <c r="AD50" s="206">
        <v>146824.77867186759</v>
      </c>
      <c r="AE50" s="206"/>
      <c r="AF50" s="206"/>
      <c r="AG50" s="219">
        <f t="shared" si="11"/>
        <v>788238.27867186756</v>
      </c>
      <c r="AH50" s="124">
        <f t="shared" si="5"/>
        <v>128066.72132813244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0"/>
        <v>0</v>
      </c>
      <c r="AX50" s="431">
        <f t="shared" si="6"/>
        <v>788238.27867186756</v>
      </c>
    </row>
    <row r="51" spans="1:50" ht="15">
      <c r="A51" s="18">
        <v>18</v>
      </c>
      <c r="B51" s="7" t="s">
        <v>96</v>
      </c>
      <c r="C51" s="147">
        <v>1241</v>
      </c>
      <c r="D51" s="13">
        <v>7330440</v>
      </c>
      <c r="E51" s="142">
        <f>+D51*$E$31</f>
        <v>5131308</v>
      </c>
      <c r="F51" s="143">
        <f>+D51*$F$31</f>
        <v>2199132</v>
      </c>
      <c r="G51" s="670"/>
      <c r="H51" s="319">
        <f t="shared" si="7"/>
        <v>7330440</v>
      </c>
      <c r="I51" s="252"/>
      <c r="J51" s="221"/>
      <c r="K51" s="252">
        <v>5131308</v>
      </c>
      <c r="L51" s="206"/>
      <c r="M51" s="206"/>
      <c r="N51" s="206"/>
      <c r="O51" s="212"/>
      <c r="P51" s="212"/>
      <c r="Q51" s="212"/>
      <c r="R51" s="33">
        <v>1027773.4507030731</v>
      </c>
      <c r="S51" s="33">
        <v>1171358.5492969267</v>
      </c>
      <c r="T51" s="21"/>
      <c r="U51" s="235"/>
      <c r="V51" s="206"/>
      <c r="W51" s="206">
        <v>5131308</v>
      </c>
      <c r="X51" s="206"/>
      <c r="Y51" s="206"/>
      <c r="Z51" s="206"/>
      <c r="AA51" s="206"/>
      <c r="AB51" s="206"/>
      <c r="AC51" s="172"/>
      <c r="AD51" s="206">
        <v>1027773.4507030731</v>
      </c>
      <c r="AE51" s="206"/>
      <c r="AF51" s="206"/>
      <c r="AG51" s="219">
        <f t="shared" si="11"/>
        <v>6159081.4507030733</v>
      </c>
      <c r="AH51" s="124">
        <f t="shared" si="5"/>
        <v>1171358.5492969267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0"/>
        <v>0</v>
      </c>
      <c r="AX51" s="431">
        <f t="shared" si="6"/>
        <v>6159081.4507030733</v>
      </c>
    </row>
    <row r="52" spans="1:50" ht="15">
      <c r="A52" s="18">
        <v>19</v>
      </c>
      <c r="B52" s="7" t="s">
        <v>97</v>
      </c>
      <c r="C52" s="147">
        <v>1241</v>
      </c>
      <c r="D52" s="13">
        <v>1026324</v>
      </c>
      <c r="E52" s="142">
        <f>+D52*$E$31</f>
        <v>718426.79999999993</v>
      </c>
      <c r="F52" s="143">
        <f>+D52*$F$31</f>
        <v>307897.2</v>
      </c>
      <c r="G52" s="670"/>
      <c r="H52" s="319">
        <f t="shared" si="7"/>
        <v>1026324</v>
      </c>
      <c r="I52" s="252"/>
      <c r="J52" s="221"/>
      <c r="K52" s="252">
        <v>718426.79999999993</v>
      </c>
      <c r="L52" s="206"/>
      <c r="M52" s="206"/>
      <c r="N52" s="206"/>
      <c r="O52" s="212"/>
      <c r="P52" s="212"/>
      <c r="Q52" s="212"/>
      <c r="R52" s="33">
        <v>205567.18852568991</v>
      </c>
      <c r="S52" s="33">
        <v>102330.01147431019</v>
      </c>
      <c r="T52" s="21"/>
      <c r="U52" s="235"/>
      <c r="V52" s="206"/>
      <c r="W52" s="206">
        <v>718426.79999999993</v>
      </c>
      <c r="X52" s="206"/>
      <c r="Y52" s="206"/>
      <c r="Z52" s="206"/>
      <c r="AA52" s="206"/>
      <c r="AB52" s="206"/>
      <c r="AC52" s="172"/>
      <c r="AD52" s="206">
        <v>205567.18852568991</v>
      </c>
      <c r="AE52" s="206"/>
      <c r="AF52" s="206"/>
      <c r="AG52" s="219">
        <f t="shared" si="11"/>
        <v>923993.98852568981</v>
      </c>
      <c r="AH52" s="124">
        <f t="shared" si="5"/>
        <v>102330.01147431019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0"/>
        <v>0</v>
      </c>
      <c r="AX52" s="431">
        <f t="shared" si="6"/>
        <v>923993.98852568981</v>
      </c>
    </row>
    <row r="53" spans="1:50" ht="15">
      <c r="A53" s="18">
        <v>20</v>
      </c>
      <c r="B53" s="7" t="s">
        <v>98</v>
      </c>
      <c r="C53" s="147">
        <v>1241</v>
      </c>
      <c r="D53" s="13">
        <v>1609894</v>
      </c>
      <c r="E53" s="142">
        <f>+D53*$E$31</f>
        <v>1126925.7999999998</v>
      </c>
      <c r="F53" s="143">
        <f>+D53*$F$31</f>
        <v>482968.19999999995</v>
      </c>
      <c r="G53" s="670"/>
      <c r="H53" s="319">
        <f t="shared" si="7"/>
        <v>1609894</v>
      </c>
      <c r="I53" s="252"/>
      <c r="J53" s="221"/>
      <c r="K53" s="252">
        <v>1126925.7999999998</v>
      </c>
      <c r="L53" s="206"/>
      <c r="M53" s="206"/>
      <c r="N53" s="206"/>
      <c r="O53" s="212"/>
      <c r="P53" s="212"/>
      <c r="Q53" s="212"/>
      <c r="R53" s="33">
        <v>52088.582099369414</v>
      </c>
      <c r="S53" s="33">
        <v>430879.61790063069</v>
      </c>
      <c r="T53" s="21"/>
      <c r="U53" s="235"/>
      <c r="V53" s="206"/>
      <c r="W53" s="206">
        <v>1126925.7999999998</v>
      </c>
      <c r="X53" s="206"/>
      <c r="Y53" s="206"/>
      <c r="Z53" s="206"/>
      <c r="AA53" s="206"/>
      <c r="AB53" s="206"/>
      <c r="AC53" s="172"/>
      <c r="AD53" s="206">
        <v>52088.582099369414</v>
      </c>
      <c r="AE53" s="206"/>
      <c r="AF53" s="206"/>
      <c r="AG53" s="219">
        <f t="shared" si="11"/>
        <v>1179014.3820993693</v>
      </c>
      <c r="AH53" s="124">
        <f t="shared" si="5"/>
        <v>430879.61790063069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0"/>
        <v>0</v>
      </c>
      <c r="AX53" s="431">
        <f t="shared" si="6"/>
        <v>1179014.3820993693</v>
      </c>
    </row>
    <row r="54" spans="1:50" ht="15">
      <c r="A54" s="573">
        <v>21</v>
      </c>
      <c r="B54" s="575" t="s">
        <v>84</v>
      </c>
      <c r="C54" s="576">
        <v>2722</v>
      </c>
      <c r="D54" s="577">
        <v>12338246</v>
      </c>
      <c r="E54" s="578">
        <f>+D54*$E$31</f>
        <v>8636772.1999999993</v>
      </c>
      <c r="F54" s="579">
        <f>+D54*$F$31</f>
        <v>3701473.8</v>
      </c>
      <c r="G54" s="580"/>
      <c r="H54" s="319">
        <f t="shared" si="7"/>
        <v>12338246</v>
      </c>
      <c r="I54" s="252"/>
      <c r="J54" s="221"/>
      <c r="K54" s="252"/>
      <c r="L54" s="206"/>
      <c r="M54" s="206">
        <v>8636772</v>
      </c>
      <c r="N54" s="206"/>
      <c r="O54" s="212"/>
      <c r="P54" s="212"/>
      <c r="Q54" s="212"/>
      <c r="R54" s="33">
        <v>3701474</v>
      </c>
      <c r="S54" s="33"/>
      <c r="T54" s="21"/>
      <c r="U54" s="235"/>
      <c r="V54" s="206"/>
      <c r="W54" s="206"/>
      <c r="X54" s="206"/>
      <c r="Y54" s="206">
        <v>8636772</v>
      </c>
      <c r="Z54" s="206"/>
      <c r="AA54" s="206"/>
      <c r="AB54" s="206"/>
      <c r="AC54" s="172"/>
      <c r="AD54" s="206">
        <v>3701474</v>
      </c>
      <c r="AE54" s="206"/>
      <c r="AF54" s="206"/>
      <c r="AG54" s="219">
        <f t="shared" si="11"/>
        <v>12338246</v>
      </c>
      <c r="AH54" s="124">
        <f t="shared" si="5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0"/>
        <v>0</v>
      </c>
      <c r="AX54" s="431">
        <f t="shared" si="6"/>
        <v>12338246</v>
      </c>
    </row>
    <row r="55" spans="1:50" ht="15">
      <c r="A55" s="18">
        <v>22</v>
      </c>
      <c r="B55" s="7" t="s">
        <v>85</v>
      </c>
      <c r="C55" s="147"/>
      <c r="D55" s="13"/>
      <c r="E55" s="142"/>
      <c r="F55" s="143"/>
      <c r="G55" s="160"/>
      <c r="H55" s="319">
        <f t="shared" si="7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33"/>
      <c r="S55" s="33"/>
      <c r="T55" s="21"/>
      <c r="U55" s="235"/>
      <c r="V55" s="206"/>
      <c r="W55" s="206"/>
      <c r="X55" s="206"/>
      <c r="Y55" s="206"/>
      <c r="Z55" s="206"/>
      <c r="AA55" s="206"/>
      <c r="AB55" s="206"/>
      <c r="AC55" s="172"/>
      <c r="AD55" s="206"/>
      <c r="AE55" s="206"/>
      <c r="AF55" s="206"/>
      <c r="AG55" s="219">
        <f t="shared" si="11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1">
        <f t="shared" si="6"/>
        <v>0</v>
      </c>
    </row>
    <row r="56" spans="1:50" ht="15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33"/>
      <c r="S56" s="33"/>
      <c r="T56" s="21"/>
      <c r="U56" s="235"/>
      <c r="V56" s="206"/>
      <c r="W56" s="206"/>
      <c r="X56" s="206"/>
      <c r="Y56" s="206"/>
      <c r="Z56" s="206"/>
      <c r="AA56" s="206"/>
      <c r="AB56" s="206"/>
      <c r="AC56" s="172"/>
      <c r="AD56" s="206"/>
      <c r="AE56" s="206"/>
      <c r="AF56" s="206"/>
      <c r="AG56" s="219">
        <f t="shared" si="11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1">
        <f t="shared" si="6"/>
        <v>0</v>
      </c>
    </row>
    <row r="57" spans="1:50" ht="15">
      <c r="A57" s="18">
        <v>24</v>
      </c>
      <c r="B57" s="7" t="s">
        <v>87</v>
      </c>
      <c r="C57" s="147"/>
      <c r="D57" s="13"/>
      <c r="E57" s="142"/>
      <c r="F57" s="143"/>
      <c r="G57" s="160"/>
      <c r="H57" s="319">
        <f t="shared" si="7"/>
        <v>0</v>
      </c>
      <c r="I57" s="252"/>
      <c r="J57" s="221"/>
      <c r="K57" s="252"/>
      <c r="L57" s="206"/>
      <c r="M57" s="206"/>
      <c r="N57" s="206"/>
      <c r="O57" s="212"/>
      <c r="P57" s="212"/>
      <c r="Q57" s="212"/>
      <c r="R57" s="33"/>
      <c r="S57" s="33"/>
      <c r="T57" s="21"/>
      <c r="U57" s="235"/>
      <c r="V57" s="206"/>
      <c r="W57" s="206"/>
      <c r="X57" s="206"/>
      <c r="Y57" s="206"/>
      <c r="Z57" s="206"/>
      <c r="AA57" s="206"/>
      <c r="AB57" s="206"/>
      <c r="AC57" s="172"/>
      <c r="AD57" s="206"/>
      <c r="AE57" s="206"/>
      <c r="AF57" s="206"/>
      <c r="AG57" s="219">
        <f t="shared" si="11"/>
        <v>0</v>
      </c>
      <c r="AH57" s="124">
        <f t="shared" si="5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0"/>
        <v>0</v>
      </c>
      <c r="AX57" s="431">
        <f t="shared" si="6"/>
        <v>0</v>
      </c>
    </row>
    <row r="58" spans="1:50" ht="29.25">
      <c r="A58" s="18">
        <v>25</v>
      </c>
      <c r="B58" s="10" t="s">
        <v>109</v>
      </c>
      <c r="C58" s="147"/>
      <c r="D58" s="13"/>
      <c r="E58" s="142"/>
      <c r="F58" s="143"/>
      <c r="G58" s="160"/>
      <c r="H58" s="319">
        <f t="shared" si="7"/>
        <v>0</v>
      </c>
      <c r="I58" s="252"/>
      <c r="J58" s="221"/>
      <c r="K58" s="252"/>
      <c r="L58" s="206"/>
      <c r="M58" s="206"/>
      <c r="N58" s="206"/>
      <c r="O58" s="212"/>
      <c r="P58" s="212"/>
      <c r="Q58" s="212"/>
      <c r="R58" s="33"/>
      <c r="S58" s="33"/>
      <c r="T58" s="21"/>
      <c r="U58" s="235"/>
      <c r="V58" s="206"/>
      <c r="W58" s="206"/>
      <c r="X58" s="206"/>
      <c r="Y58" s="206"/>
      <c r="Z58" s="206"/>
      <c r="AA58" s="206"/>
      <c r="AB58" s="206"/>
      <c r="AC58" s="172"/>
      <c r="AD58" s="206"/>
      <c r="AE58" s="206"/>
      <c r="AF58" s="206"/>
      <c r="AG58" s="219">
        <f t="shared" si="11"/>
        <v>0</v>
      </c>
      <c r="AH58" s="124">
        <f t="shared" si="5"/>
        <v>0</v>
      </c>
      <c r="AK58" s="235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27"/>
      <c r="AW58" s="228">
        <f t="shared" si="10"/>
        <v>0</v>
      </c>
      <c r="AX58" s="431">
        <f t="shared" si="6"/>
        <v>0</v>
      </c>
    </row>
    <row r="59" spans="1:50" ht="15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33"/>
      <c r="S59" s="33"/>
      <c r="T59" s="21"/>
      <c r="U59" s="235"/>
      <c r="V59" s="206"/>
      <c r="W59" s="206"/>
      <c r="X59" s="206"/>
      <c r="Y59" s="206"/>
      <c r="Z59" s="206"/>
      <c r="AA59" s="206"/>
      <c r="AB59" s="206"/>
      <c r="AC59" s="172"/>
      <c r="AD59" s="206"/>
      <c r="AE59" s="206"/>
      <c r="AF59" s="206"/>
      <c r="AG59" s="219">
        <f t="shared" si="11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6"/>
        <v>0</v>
      </c>
    </row>
    <row r="60" spans="1:50" ht="15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33"/>
      <c r="S60" s="33"/>
      <c r="T60" s="21"/>
      <c r="U60" s="235"/>
      <c r="V60" s="206"/>
      <c r="W60" s="206"/>
      <c r="X60" s="206"/>
      <c r="Y60" s="206"/>
      <c r="Z60" s="206"/>
      <c r="AA60" s="206"/>
      <c r="AB60" s="206"/>
      <c r="AC60" s="172"/>
      <c r="AD60" s="206"/>
      <c r="AE60" s="206"/>
      <c r="AF60" s="206"/>
      <c r="AG60" s="219">
        <f t="shared" si="11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1">
        <f t="shared" si="6"/>
        <v>0</v>
      </c>
    </row>
    <row r="61" spans="1:50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33"/>
      <c r="S61" s="33"/>
      <c r="T61" s="21"/>
      <c r="U61" s="235"/>
      <c r="V61" s="206"/>
      <c r="W61" s="206"/>
      <c r="X61" s="206"/>
      <c r="Y61" s="206"/>
      <c r="Z61" s="206"/>
      <c r="AA61" s="206"/>
      <c r="AB61" s="206"/>
      <c r="AC61" s="172"/>
      <c r="AD61" s="206"/>
      <c r="AE61" s="206"/>
      <c r="AF61" s="206"/>
      <c r="AG61" s="219">
        <f t="shared" si="11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1">
        <f t="shared" si="6"/>
        <v>0</v>
      </c>
    </row>
    <row r="62" spans="1:50" ht="15">
      <c r="A62" s="18">
        <v>29</v>
      </c>
      <c r="B62" s="7" t="s">
        <v>103</v>
      </c>
      <c r="C62" s="147"/>
      <c r="D62" s="13"/>
      <c r="E62" s="142"/>
      <c r="F62" s="143"/>
      <c r="G62" s="160"/>
      <c r="H62" s="319">
        <f t="shared" si="7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33"/>
      <c r="S62" s="33"/>
      <c r="T62" s="21"/>
      <c r="U62" s="235"/>
      <c r="V62" s="206"/>
      <c r="W62" s="206"/>
      <c r="X62" s="206"/>
      <c r="Y62" s="206"/>
      <c r="Z62" s="206"/>
      <c r="AA62" s="206"/>
      <c r="AB62" s="206"/>
      <c r="AC62" s="172"/>
      <c r="AD62" s="206"/>
      <c r="AE62" s="206"/>
      <c r="AF62" s="206"/>
      <c r="AG62" s="219">
        <f t="shared" si="11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1">
        <f t="shared" si="6"/>
        <v>0</v>
      </c>
    </row>
    <row r="63" spans="1:50" ht="15">
      <c r="A63" s="18">
        <v>30</v>
      </c>
      <c r="B63" s="7" t="s">
        <v>90</v>
      </c>
      <c r="C63" s="147" t="s">
        <v>143</v>
      </c>
      <c r="D63" s="13">
        <f>3963269+37090347</f>
        <v>41053616</v>
      </c>
      <c r="E63" s="142">
        <f>37090347*0.7</f>
        <v>25963242.899999999</v>
      </c>
      <c r="F63" s="143">
        <f>37090347*0.3</f>
        <v>11127104.1</v>
      </c>
      <c r="G63" s="160">
        <f>+D63-H63</f>
        <v>3963269</v>
      </c>
      <c r="H63" s="319">
        <f t="shared" si="7"/>
        <v>37090347</v>
      </c>
      <c r="I63" s="252"/>
      <c r="J63" s="221"/>
      <c r="K63" s="252"/>
      <c r="L63" s="206"/>
      <c r="M63" s="206">
        <v>25963243</v>
      </c>
      <c r="N63" s="206"/>
      <c r="O63" s="212"/>
      <c r="P63" s="212"/>
      <c r="Q63" s="212"/>
      <c r="R63" s="33">
        <v>11127104</v>
      </c>
      <c r="S63" s="33"/>
      <c r="T63" s="21"/>
      <c r="U63" s="235"/>
      <c r="V63" s="206"/>
      <c r="W63" s="206"/>
      <c r="X63" s="206"/>
      <c r="Y63" s="206">
        <v>25963243</v>
      </c>
      <c r="Z63" s="206"/>
      <c r="AA63" s="206"/>
      <c r="AB63" s="206"/>
      <c r="AC63" s="172"/>
      <c r="AD63" s="206">
        <v>11127104</v>
      </c>
      <c r="AE63" s="206"/>
      <c r="AF63" s="206"/>
      <c r="AG63" s="219">
        <f t="shared" si="11"/>
        <v>37090347</v>
      </c>
      <c r="AH63" s="124">
        <f t="shared" si="5"/>
        <v>0</v>
      </c>
      <c r="AK63" s="235"/>
      <c r="AL63" s="206"/>
      <c r="AM63" s="206"/>
      <c r="AN63" s="206"/>
      <c r="AO63" s="206"/>
      <c r="AP63" s="206"/>
      <c r="AQ63" s="206"/>
      <c r="AR63" s="206">
        <v>40766196</v>
      </c>
      <c r="AS63" s="206"/>
      <c r="AT63" s="206"/>
      <c r="AU63" s="206"/>
      <c r="AV63" s="227"/>
      <c r="AW63" s="228">
        <f t="shared" si="10"/>
        <v>40766196</v>
      </c>
      <c r="AX63" s="431">
        <f t="shared" si="6"/>
        <v>-3675849</v>
      </c>
    </row>
    <row r="64" spans="1:50" ht="15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7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33"/>
      <c r="S64" s="33"/>
      <c r="T64" s="21"/>
      <c r="U64" s="235"/>
      <c r="V64" s="206"/>
      <c r="W64" s="206"/>
      <c r="X64" s="206"/>
      <c r="Y64" s="206"/>
      <c r="Z64" s="206"/>
      <c r="AA64" s="206"/>
      <c r="AB64" s="206"/>
      <c r="AC64" s="172"/>
      <c r="AD64" s="206"/>
      <c r="AE64" s="206"/>
      <c r="AF64" s="206"/>
      <c r="AG64" s="219">
        <f t="shared" si="11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1">
        <f t="shared" si="6"/>
        <v>0</v>
      </c>
    </row>
    <row r="65" spans="1:50" ht="15">
      <c r="A65" s="573">
        <v>32</v>
      </c>
      <c r="B65" s="575" t="s">
        <v>92</v>
      </c>
      <c r="C65" s="576">
        <v>1368</v>
      </c>
      <c r="D65" s="577">
        <v>1664096</v>
      </c>
      <c r="E65" s="578">
        <f>+D65*E31</f>
        <v>1164867.2</v>
      </c>
      <c r="F65" s="579">
        <f>+D65*F31</f>
        <v>499228.8</v>
      </c>
      <c r="G65" s="580"/>
      <c r="H65" s="319">
        <f t="shared" si="7"/>
        <v>1664096</v>
      </c>
      <c r="I65" s="252"/>
      <c r="J65" s="221"/>
      <c r="K65" s="252">
        <v>1164867.2</v>
      </c>
      <c r="L65" s="206"/>
      <c r="M65" s="206"/>
      <c r="N65" s="206"/>
      <c r="O65" s="212"/>
      <c r="P65" s="212"/>
      <c r="Q65" s="212"/>
      <c r="R65" s="33">
        <v>499228.80000000005</v>
      </c>
      <c r="S65" s="33"/>
      <c r="T65" s="21"/>
      <c r="U65" s="235"/>
      <c r="V65" s="206"/>
      <c r="W65" s="206">
        <v>1164867</v>
      </c>
      <c r="X65" s="206"/>
      <c r="Y65" s="206"/>
      <c r="Z65" s="206"/>
      <c r="AA65" s="206"/>
      <c r="AB65" s="206"/>
      <c r="AC65" s="172"/>
      <c r="AD65" s="206">
        <v>499228.80000000005</v>
      </c>
      <c r="AE65" s="206"/>
      <c r="AF65" s="206"/>
      <c r="AG65" s="219">
        <f t="shared" si="11"/>
        <v>1664095.8</v>
      </c>
      <c r="AH65" s="124">
        <f t="shared" si="5"/>
        <v>0.19999999995343387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0"/>
        <v>0</v>
      </c>
      <c r="AX65" s="431">
        <f t="shared" si="6"/>
        <v>1664095.8</v>
      </c>
    </row>
    <row r="66" spans="1:50" ht="15">
      <c r="A66" s="18">
        <v>33</v>
      </c>
      <c r="B66" s="52" t="s">
        <v>107</v>
      </c>
      <c r="C66" s="148"/>
      <c r="D66" s="43"/>
      <c r="E66" s="174"/>
      <c r="F66" s="175"/>
      <c r="G66" s="176"/>
      <c r="H66" s="319">
        <f t="shared" si="7"/>
        <v>0</v>
      </c>
      <c r="I66" s="254"/>
      <c r="J66" s="222"/>
      <c r="K66" s="254"/>
      <c r="L66" s="210"/>
      <c r="M66" s="210"/>
      <c r="N66" s="210"/>
      <c r="O66" s="212"/>
      <c r="P66" s="212"/>
      <c r="Q66" s="212"/>
      <c r="R66" s="33"/>
      <c r="S66" s="33"/>
      <c r="T66" s="21"/>
      <c r="U66" s="236"/>
      <c r="V66" s="210"/>
      <c r="W66" s="210"/>
      <c r="X66" s="210"/>
      <c r="Y66" s="210"/>
      <c r="Z66" s="210"/>
      <c r="AA66" s="210"/>
      <c r="AB66" s="210"/>
      <c r="AC66" s="179"/>
      <c r="AD66" s="210"/>
      <c r="AE66" s="210"/>
      <c r="AF66" s="210"/>
      <c r="AG66" s="219">
        <f t="shared" si="11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1">
        <f t="shared" si="6"/>
        <v>0</v>
      </c>
    </row>
    <row r="67" spans="1:50" ht="15">
      <c r="A67" s="18">
        <v>34</v>
      </c>
      <c r="B67" s="52" t="s">
        <v>180</v>
      </c>
      <c r="C67" s="148" t="s">
        <v>297</v>
      </c>
      <c r="D67" s="43">
        <f>1413000+14180000+8321742+9924585</f>
        <v>33839327</v>
      </c>
      <c r="E67" s="174">
        <v>989099.99999999988</v>
      </c>
      <c r="F67" s="175">
        <v>423900</v>
      </c>
      <c r="G67" s="176">
        <f>14180000+8321742</f>
        <v>22501742</v>
      </c>
      <c r="H67" s="319">
        <f t="shared" si="7"/>
        <v>34302162</v>
      </c>
      <c r="I67" s="254"/>
      <c r="J67" s="222"/>
      <c r="K67" s="254">
        <v>989100</v>
      </c>
      <c r="L67" s="210">
        <v>8936900</v>
      </c>
      <c r="M67" s="210">
        <v>5667000</v>
      </c>
      <c r="N67" s="210"/>
      <c r="O67" s="212"/>
      <c r="P67" s="212"/>
      <c r="Q67" s="212">
        <v>5825220</v>
      </c>
      <c r="R67" s="33">
        <f>2224738+734619</f>
        <v>2959357</v>
      </c>
      <c r="S67" s="33">
        <v>9924585</v>
      </c>
      <c r="T67" s="21"/>
      <c r="U67" s="236"/>
      <c r="V67" s="210"/>
      <c r="W67" s="210">
        <v>989100</v>
      </c>
      <c r="X67" s="210">
        <v>8936900</v>
      </c>
      <c r="Y67" s="210">
        <v>5667000</v>
      </c>
      <c r="Z67" s="210"/>
      <c r="AA67" s="210"/>
      <c r="AB67" s="210"/>
      <c r="AC67" s="179">
        <v>5825220</v>
      </c>
      <c r="AD67" s="210">
        <f>2224738+271784</f>
        <v>2496522</v>
      </c>
      <c r="AE67" s="210">
        <f>9461750+462835</f>
        <v>9924585</v>
      </c>
      <c r="AF67" s="210"/>
      <c r="AG67" s="219">
        <f t="shared" si="11"/>
        <v>33839327</v>
      </c>
      <c r="AH67" s="124">
        <f t="shared" si="5"/>
        <v>462835</v>
      </c>
      <c r="AI67" s="6">
        <v>462835</v>
      </c>
      <c r="AK67" s="236"/>
      <c r="AL67" s="210"/>
      <c r="AM67" s="210"/>
      <c r="AN67" s="210"/>
      <c r="AO67" s="210"/>
      <c r="AP67" s="210">
        <v>0</v>
      </c>
      <c r="AQ67" s="210">
        <v>16545736</v>
      </c>
      <c r="AR67" s="210">
        <v>313586</v>
      </c>
      <c r="AS67" s="210"/>
      <c r="AT67" s="210"/>
      <c r="AU67" s="210"/>
      <c r="AV67" s="229"/>
      <c r="AW67" s="228">
        <f t="shared" si="10"/>
        <v>16859322</v>
      </c>
      <c r="AX67" s="431">
        <f t="shared" si="6"/>
        <v>16980005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si="7"/>
        <v>0</v>
      </c>
      <c r="I68" s="254"/>
      <c r="J68" s="222"/>
      <c r="K68" s="254"/>
      <c r="L68" s="210"/>
      <c r="M68" s="210">
        <v>0</v>
      </c>
      <c r="N68" s="210"/>
      <c r="O68" s="212"/>
      <c r="P68" s="212"/>
      <c r="Q68" s="212"/>
      <c r="R68" s="33"/>
      <c r="T68" s="21"/>
      <c r="U68" s="236"/>
      <c r="V68" s="210"/>
      <c r="W68" s="210"/>
      <c r="X68" s="210"/>
      <c r="Y68" s="210"/>
      <c r="Z68" s="210"/>
      <c r="AA68" s="210"/>
      <c r="AB68" s="210"/>
      <c r="AC68" s="179"/>
      <c r="AD68" s="210"/>
      <c r="AE68" s="210"/>
      <c r="AF68" s="210"/>
      <c r="AG68" s="219">
        <f t="shared" ref="AG68:AG74" si="12">SUM(U68:AF68)</f>
        <v>0</v>
      </c>
      <c r="AH68" s="124">
        <f t="shared" ref="AH68:AH81" si="13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4">SUM(AK68:AV68)</f>
        <v>0</v>
      </c>
      <c r="AX68" s="431">
        <f t="shared" si="6"/>
        <v>0</v>
      </c>
    </row>
    <row r="69" spans="1:50" ht="15">
      <c r="A69" s="18">
        <v>36</v>
      </c>
      <c r="B69" s="52" t="s">
        <v>182</v>
      </c>
      <c r="C69" s="148" t="s">
        <v>142</v>
      </c>
      <c r="D69" s="43">
        <v>4366488</v>
      </c>
      <c r="E69" s="174">
        <f>+D69*1</f>
        <v>4366488</v>
      </c>
      <c r="F69" s="175"/>
      <c r="G69" s="176"/>
      <c r="H69" s="319">
        <f t="shared" si="7"/>
        <v>3903653</v>
      </c>
      <c r="I69" s="254"/>
      <c r="J69" s="222"/>
      <c r="K69" s="254"/>
      <c r="L69" s="210"/>
      <c r="M69" s="210">
        <v>3903653</v>
      </c>
      <c r="N69" s="210"/>
      <c r="O69" s="212"/>
      <c r="P69" s="212"/>
      <c r="Q69" s="212"/>
      <c r="R69" s="33"/>
      <c r="S69" s="33"/>
      <c r="T69" s="21"/>
      <c r="U69" s="236"/>
      <c r="V69" s="210"/>
      <c r="W69" s="210"/>
      <c r="X69" s="210"/>
      <c r="Y69" s="210">
        <v>3903653</v>
      </c>
      <c r="Z69" s="210"/>
      <c r="AA69" s="210"/>
      <c r="AB69" s="210"/>
      <c r="AC69" s="179"/>
      <c r="AD69" s="210"/>
      <c r="AE69" s="210"/>
      <c r="AF69" s="210"/>
      <c r="AG69" s="219">
        <f t="shared" si="12"/>
        <v>3903653</v>
      </c>
      <c r="AH69" s="124">
        <f t="shared" si="13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4"/>
        <v>0</v>
      </c>
      <c r="AX69" s="431">
        <f t="shared" si="6"/>
        <v>3903653</v>
      </c>
    </row>
    <row r="70" spans="1:50" ht="15">
      <c r="A70" s="573">
        <v>37</v>
      </c>
      <c r="B70" s="568" t="s">
        <v>132</v>
      </c>
      <c r="C70" s="569">
        <v>2248</v>
      </c>
      <c r="D70" s="567">
        <v>13019467</v>
      </c>
      <c r="E70" s="563">
        <f>+D70*0.5</f>
        <v>6509733.5</v>
      </c>
      <c r="F70" s="564">
        <f>+D70*0.25</f>
        <v>3254866.75</v>
      </c>
      <c r="G70" s="565">
        <f>+D70*0.25</f>
        <v>3254866.75</v>
      </c>
      <c r="H70" s="319">
        <f t="shared" si="7"/>
        <v>13019467</v>
      </c>
      <c r="I70" s="254"/>
      <c r="J70" s="222"/>
      <c r="K70" s="254"/>
      <c r="L70" s="210"/>
      <c r="M70" s="210">
        <v>6509733</v>
      </c>
      <c r="N70" s="210"/>
      <c r="O70" s="212"/>
      <c r="P70" s="212">
        <v>3254867</v>
      </c>
      <c r="Q70" s="212"/>
      <c r="R70" s="33">
        <v>3254867</v>
      </c>
      <c r="S70" s="33"/>
      <c r="T70" s="21"/>
      <c r="U70" s="236"/>
      <c r="V70" s="210"/>
      <c r="W70" s="210"/>
      <c r="X70" s="210"/>
      <c r="Y70" s="210">
        <v>6509733</v>
      </c>
      <c r="Z70" s="210"/>
      <c r="AA70" s="210"/>
      <c r="AB70" s="210"/>
      <c r="AC70" s="179">
        <v>3254867</v>
      </c>
      <c r="AD70" s="210">
        <v>3254867</v>
      </c>
      <c r="AE70" s="210"/>
      <c r="AF70" s="210"/>
      <c r="AG70" s="219">
        <f t="shared" si="12"/>
        <v>13019467</v>
      </c>
      <c r="AH70" s="124">
        <f t="shared" si="13"/>
        <v>0</v>
      </c>
      <c r="AK70" s="236"/>
      <c r="AL70" s="210"/>
      <c r="AM70" s="210"/>
      <c r="AN70" s="210"/>
      <c r="AO70" s="210"/>
      <c r="AP70" s="210"/>
      <c r="AQ70" s="210"/>
      <c r="AR70" s="210">
        <v>10552392</v>
      </c>
      <c r="AS70" s="210"/>
      <c r="AT70" s="210"/>
      <c r="AU70" s="210"/>
      <c r="AV70" s="229"/>
      <c r="AW70" s="228">
        <f t="shared" si="14"/>
        <v>10552392</v>
      </c>
      <c r="AX70" s="431">
        <f t="shared" si="6"/>
        <v>2467075</v>
      </c>
    </row>
    <row r="71" spans="1:50" ht="15">
      <c r="A71" s="573">
        <v>38</v>
      </c>
      <c r="B71" s="568" t="s">
        <v>129</v>
      </c>
      <c r="C71" s="569">
        <v>2720</v>
      </c>
      <c r="D71" s="567">
        <v>1653257</v>
      </c>
      <c r="E71" s="563">
        <f>+D71*E31</f>
        <v>1157279.8999999999</v>
      </c>
      <c r="F71" s="564">
        <f>+D71*F31</f>
        <v>495977.1</v>
      </c>
      <c r="G71" s="565"/>
      <c r="H71" s="319">
        <f t="shared" si="7"/>
        <v>1653257</v>
      </c>
      <c r="I71" s="254"/>
      <c r="J71" s="222"/>
      <c r="K71" s="254"/>
      <c r="L71" s="210"/>
      <c r="M71" s="210">
        <v>1157280</v>
      </c>
      <c r="N71" s="210"/>
      <c r="O71" s="212"/>
      <c r="P71" s="212"/>
      <c r="Q71" s="212"/>
      <c r="R71" s="33"/>
      <c r="S71" s="33">
        <v>495977</v>
      </c>
      <c r="T71" s="21"/>
      <c r="U71" s="236"/>
      <c r="V71" s="210"/>
      <c r="W71" s="210"/>
      <c r="X71" s="210"/>
      <c r="Y71" s="210">
        <v>1157280</v>
      </c>
      <c r="Z71" s="210"/>
      <c r="AA71" s="210"/>
      <c r="AB71" s="210"/>
      <c r="AC71" s="179"/>
      <c r="AD71" s="210"/>
      <c r="AE71" s="210">
        <v>495977</v>
      </c>
      <c r="AF71" s="210"/>
      <c r="AG71" s="219">
        <f t="shared" si="12"/>
        <v>1653257</v>
      </c>
      <c r="AH71" s="124">
        <f t="shared" si="13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4"/>
        <v>0</v>
      </c>
      <c r="AX71" s="431">
        <f t="shared" si="6"/>
        <v>1653257</v>
      </c>
    </row>
    <row r="72" spans="1:50" ht="15">
      <c r="A72" s="18">
        <v>39</v>
      </c>
      <c r="B72" s="52" t="s">
        <v>133</v>
      </c>
      <c r="C72" s="148"/>
      <c r="D72" s="43"/>
      <c r="E72" s="174"/>
      <c r="F72" s="175"/>
      <c r="G72" s="176"/>
      <c r="H72" s="319">
        <f t="shared" si="7"/>
        <v>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33"/>
      <c r="S72" s="33"/>
      <c r="T72" s="21"/>
      <c r="U72" s="236"/>
      <c r="V72" s="210"/>
      <c r="W72" s="210"/>
      <c r="X72" s="210"/>
      <c r="Y72" s="210"/>
      <c r="Z72" s="210"/>
      <c r="AA72" s="210"/>
      <c r="AB72" s="210"/>
      <c r="AC72" s="179"/>
      <c r="AD72" s="210"/>
      <c r="AE72" s="210"/>
      <c r="AF72" s="210"/>
      <c r="AG72" s="219">
        <f t="shared" si="12"/>
        <v>0</v>
      </c>
      <c r="AH72" s="124">
        <f t="shared" si="13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4"/>
        <v>0</v>
      </c>
      <c r="AX72" s="431">
        <f t="shared" si="6"/>
        <v>0</v>
      </c>
    </row>
    <row r="73" spans="1:50" ht="15">
      <c r="A73" s="18">
        <v>40</v>
      </c>
      <c r="B73" s="52" t="s">
        <v>134</v>
      </c>
      <c r="C73" s="148"/>
      <c r="D73" s="43"/>
      <c r="E73" s="174"/>
      <c r="F73" s="175"/>
      <c r="G73" s="176"/>
      <c r="H73" s="319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33"/>
      <c r="S73" s="33"/>
      <c r="T73" s="21"/>
      <c r="U73" s="236"/>
      <c r="V73" s="210"/>
      <c r="W73" s="210"/>
      <c r="X73" s="210"/>
      <c r="Y73" s="210"/>
      <c r="Z73" s="210"/>
      <c r="AA73" s="210"/>
      <c r="AB73" s="210"/>
      <c r="AC73" s="179"/>
      <c r="AD73" s="210"/>
      <c r="AE73" s="210"/>
      <c r="AF73" s="210"/>
      <c r="AG73" s="219">
        <f t="shared" si="12"/>
        <v>0</v>
      </c>
      <c r="AH73" s="124">
        <f t="shared" si="13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4"/>
        <v>0</v>
      </c>
      <c r="AX73" s="431">
        <f t="shared" si="6"/>
        <v>0</v>
      </c>
    </row>
    <row r="74" spans="1:50" ht="15">
      <c r="A74" s="18">
        <v>41</v>
      </c>
      <c r="B74" s="52" t="s">
        <v>135</v>
      </c>
      <c r="C74" s="148"/>
      <c r="D74" s="43"/>
      <c r="E74" s="174"/>
      <c r="F74" s="175"/>
      <c r="G74" s="176"/>
      <c r="H74" s="319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33"/>
      <c r="S74" s="33"/>
      <c r="T74" s="21"/>
      <c r="U74" s="236"/>
      <c r="V74" s="210"/>
      <c r="W74" s="210"/>
      <c r="X74" s="210"/>
      <c r="Y74" s="210"/>
      <c r="Z74" s="210"/>
      <c r="AA74" s="210"/>
      <c r="AB74" s="210"/>
      <c r="AC74" s="179"/>
      <c r="AD74" s="210"/>
      <c r="AE74" s="210"/>
      <c r="AF74" s="210"/>
      <c r="AG74" s="219">
        <f t="shared" si="12"/>
        <v>0</v>
      </c>
      <c r="AH74" s="124">
        <f t="shared" si="13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4"/>
        <v>0</v>
      </c>
      <c r="AX74" s="431">
        <f t="shared" si="6"/>
        <v>0</v>
      </c>
    </row>
    <row r="75" spans="1:50" ht="15">
      <c r="A75" s="573">
        <v>42</v>
      </c>
      <c r="B75" s="568" t="s">
        <v>170</v>
      </c>
      <c r="C75" s="569">
        <v>3475</v>
      </c>
      <c r="D75" s="567">
        <v>1722013</v>
      </c>
      <c r="E75" s="736" t="s">
        <v>172</v>
      </c>
      <c r="F75" s="737"/>
      <c r="G75" s="738"/>
      <c r="H75" s="319">
        <f t="shared" si="7"/>
        <v>1722000</v>
      </c>
      <c r="I75" s="254"/>
      <c r="J75" s="222"/>
      <c r="K75" s="254"/>
      <c r="L75" s="210"/>
      <c r="M75" s="210"/>
      <c r="N75" s="210"/>
      <c r="O75" s="212"/>
      <c r="P75" s="212"/>
      <c r="Q75" s="212">
        <v>1722000</v>
      </c>
      <c r="R75" s="33"/>
      <c r="S75" s="33"/>
      <c r="T75" s="21"/>
      <c r="U75" s="236"/>
      <c r="V75" s="210"/>
      <c r="W75" s="210"/>
      <c r="X75" s="210"/>
      <c r="Y75" s="210"/>
      <c r="Z75" s="210"/>
      <c r="AA75" s="210"/>
      <c r="AB75" s="210"/>
      <c r="AC75" s="179"/>
      <c r="AD75" s="210"/>
      <c r="AE75" s="210"/>
      <c r="AF75" s="210"/>
      <c r="AG75" s="219">
        <f t="shared" ref="AG75:AG82" si="15">SUM(U75:AF75)</f>
        <v>0</v>
      </c>
      <c r="AH75" s="124">
        <f t="shared" si="13"/>
        <v>1722000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6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9">
        <v>3474</v>
      </c>
      <c r="D76" s="567">
        <v>3343500</v>
      </c>
      <c r="E76" s="736" t="s">
        <v>172</v>
      </c>
      <c r="F76" s="737"/>
      <c r="G76" s="738"/>
      <c r="H76" s="319">
        <f t="shared" si="7"/>
        <v>3343500</v>
      </c>
      <c r="I76" s="254"/>
      <c r="J76" s="222"/>
      <c r="K76" s="254"/>
      <c r="L76" s="210"/>
      <c r="M76" s="210"/>
      <c r="N76" s="210"/>
      <c r="O76" s="212"/>
      <c r="P76" s="212">
        <v>2340450</v>
      </c>
      <c r="Q76" s="212"/>
      <c r="R76" s="33"/>
      <c r="S76" s="33">
        <v>1003050</v>
      </c>
      <c r="T76" s="21"/>
      <c r="U76" s="236"/>
      <c r="V76" s="210"/>
      <c r="W76" s="210"/>
      <c r="X76" s="210"/>
      <c r="Y76" s="210"/>
      <c r="Z76" s="210"/>
      <c r="AA76" s="210"/>
      <c r="AB76" s="210"/>
      <c r="AC76" s="179"/>
      <c r="AD76" s="210"/>
      <c r="AE76" s="210"/>
      <c r="AF76" s="210"/>
      <c r="AG76" s="219">
        <f t="shared" si="15"/>
        <v>0</v>
      </c>
      <c r="AH76" s="124">
        <f t="shared" si="13"/>
        <v>3343500</v>
      </c>
      <c r="AI76" s="170">
        <f>+AH75+AH76</f>
        <v>5065500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6"/>
        <v>0</v>
      </c>
      <c r="AX76" s="431">
        <f t="shared" si="6"/>
        <v>0</v>
      </c>
    </row>
    <row r="77" spans="1:50" ht="15">
      <c r="A77" s="18">
        <v>44</v>
      </c>
      <c r="B77" s="52" t="s">
        <v>188</v>
      </c>
      <c r="C77" s="148"/>
      <c r="D77" s="43"/>
      <c r="E77" s="479"/>
      <c r="F77" s="480"/>
      <c r="G77" s="480"/>
      <c r="H77" s="319">
        <f t="shared" si="7"/>
        <v>0</v>
      </c>
      <c r="I77" s="254"/>
      <c r="J77" s="222"/>
      <c r="K77" s="254"/>
      <c r="L77" s="210"/>
      <c r="M77" s="210"/>
      <c r="N77" s="210"/>
      <c r="O77" s="212"/>
      <c r="P77" s="212"/>
      <c r="Q77" s="212"/>
      <c r="R77" s="33"/>
      <c r="S77" s="33"/>
      <c r="T77" s="21"/>
      <c r="U77" s="236"/>
      <c r="V77" s="210"/>
      <c r="W77" s="210"/>
      <c r="X77" s="210"/>
      <c r="Y77" s="210"/>
      <c r="Z77" s="210"/>
      <c r="AA77" s="210"/>
      <c r="AB77" s="210"/>
      <c r="AC77" s="179"/>
      <c r="AD77" s="210"/>
      <c r="AE77" s="210"/>
      <c r="AF77" s="210"/>
      <c r="AG77" s="219">
        <f t="shared" si="15"/>
        <v>0</v>
      </c>
      <c r="AH77" s="124">
        <f t="shared" si="13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6"/>
        <v>0</v>
      </c>
      <c r="AX77" s="431">
        <f t="shared" si="6"/>
        <v>0</v>
      </c>
    </row>
    <row r="78" spans="1:50" ht="15">
      <c r="A78" s="18">
        <v>45</v>
      </c>
      <c r="B78" s="52" t="s">
        <v>189</v>
      </c>
      <c r="C78" s="148"/>
      <c r="D78" s="43"/>
      <c r="E78" s="720" t="s">
        <v>172</v>
      </c>
      <c r="F78" s="721"/>
      <c r="G78" s="722"/>
      <c r="H78" s="319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33"/>
      <c r="S78" s="33"/>
      <c r="T78" s="21"/>
      <c r="U78" s="236"/>
      <c r="V78" s="210"/>
      <c r="W78" s="210"/>
      <c r="X78" s="210"/>
      <c r="Y78" s="210"/>
      <c r="Z78" s="210"/>
      <c r="AA78" s="210"/>
      <c r="AB78" s="210"/>
      <c r="AC78" s="179"/>
      <c r="AD78" s="210"/>
      <c r="AE78" s="210"/>
      <c r="AF78" s="210"/>
      <c r="AG78" s="219">
        <f t="shared" si="15"/>
        <v>0</v>
      </c>
      <c r="AH78" s="124">
        <f t="shared" si="13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6"/>
        <v>0</v>
      </c>
      <c r="AX78" s="431">
        <f>+AG78-AW78</f>
        <v>0</v>
      </c>
    </row>
    <row r="79" spans="1:50" ht="15">
      <c r="A79" s="573"/>
      <c r="B79" s="568" t="s">
        <v>205</v>
      </c>
      <c r="C79" s="569" t="s">
        <v>216</v>
      </c>
      <c r="D79" s="567">
        <v>16686180</v>
      </c>
      <c r="E79" s="624">
        <f>+D79*0.7</f>
        <v>11680326</v>
      </c>
      <c r="F79" s="625">
        <f>+D79*0.3</f>
        <v>5005854</v>
      </c>
      <c r="G79" s="625"/>
      <c r="H79" s="319">
        <f t="shared" si="7"/>
        <v>16686180</v>
      </c>
      <c r="I79" s="254"/>
      <c r="J79" s="222"/>
      <c r="K79" s="254"/>
      <c r="L79" s="210"/>
      <c r="M79" s="210"/>
      <c r="N79" s="210"/>
      <c r="O79" s="212"/>
      <c r="P79" s="212"/>
      <c r="Q79" s="212">
        <v>11680326</v>
      </c>
      <c r="R79" s="33">
        <v>5005854</v>
      </c>
      <c r="S79" s="33"/>
      <c r="T79" s="21"/>
      <c r="U79" s="236"/>
      <c r="V79" s="210"/>
      <c r="W79" s="210"/>
      <c r="X79" s="210"/>
      <c r="Y79" s="210"/>
      <c r="Z79" s="210"/>
      <c r="AA79" s="210"/>
      <c r="AB79" s="210"/>
      <c r="AC79" s="179">
        <v>11680326</v>
      </c>
      <c r="AD79" s="210">
        <v>5005854</v>
      </c>
      <c r="AE79" s="210"/>
      <c r="AF79" s="210"/>
      <c r="AG79" s="219">
        <f t="shared" si="15"/>
        <v>16686180</v>
      </c>
      <c r="AH79" s="124">
        <f t="shared" si="13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6"/>
        <v>0</v>
      </c>
      <c r="AX79" s="431">
        <f>+AG79-AW79</f>
        <v>16686180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176"/>
      <c r="H80" s="319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33"/>
      <c r="S80" s="33"/>
      <c r="T80" s="21"/>
      <c r="U80" s="236"/>
      <c r="V80" s="210"/>
      <c r="W80" s="210"/>
      <c r="X80" s="210"/>
      <c r="Y80" s="210"/>
      <c r="Z80" s="210"/>
      <c r="AA80" s="210"/>
      <c r="AB80" s="210"/>
      <c r="AC80" s="179"/>
      <c r="AD80" s="210"/>
      <c r="AE80" s="210"/>
      <c r="AF80" s="210"/>
      <c r="AG80" s="219">
        <f t="shared" si="15"/>
        <v>0</v>
      </c>
      <c r="AH80" s="124">
        <f t="shared" si="13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6"/>
        <v>0</v>
      </c>
      <c r="AX80" s="431">
        <f>+AG80-AW80</f>
        <v>0</v>
      </c>
    </row>
    <row r="81" spans="1:50" ht="15">
      <c r="A81" s="621"/>
      <c r="B81" s="568" t="s">
        <v>256</v>
      </c>
      <c r="C81" s="569" t="s">
        <v>257</v>
      </c>
      <c r="D81" s="567">
        <v>2815655</v>
      </c>
      <c r="E81" s="563">
        <f>+D81</f>
        <v>2815655</v>
      </c>
      <c r="F81" s="564"/>
      <c r="G81" s="565"/>
      <c r="H81" s="319">
        <f t="shared" si="7"/>
        <v>2815655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33">
        <v>2815655</v>
      </c>
      <c r="S81" s="33"/>
      <c r="T81" s="21"/>
      <c r="U81" s="236"/>
      <c r="V81" s="210"/>
      <c r="W81" s="210"/>
      <c r="X81" s="210"/>
      <c r="Y81" s="210"/>
      <c r="Z81" s="210"/>
      <c r="AA81" s="210"/>
      <c r="AB81" s="210"/>
      <c r="AC81" s="179"/>
      <c r="AD81" s="210">
        <v>2815655</v>
      </c>
      <c r="AE81" s="210"/>
      <c r="AF81" s="210"/>
      <c r="AG81" s="219">
        <f t="shared" si="15"/>
        <v>2815655</v>
      </c>
      <c r="AH81" s="124">
        <f t="shared" si="13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6"/>
        <v>0</v>
      </c>
      <c r="AX81" s="431">
        <f>+AG81-AW81</f>
        <v>2815655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19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33"/>
      <c r="S82" s="33"/>
      <c r="T82" s="21"/>
      <c r="U82" s="236"/>
      <c r="V82" s="210"/>
      <c r="W82" s="210"/>
      <c r="X82" s="210"/>
      <c r="Y82" s="210"/>
      <c r="Z82" s="210"/>
      <c r="AA82" s="210"/>
      <c r="AB82" s="210"/>
      <c r="AC82" s="179"/>
      <c r="AD82" s="210"/>
      <c r="AE82" s="210"/>
      <c r="AF82" s="210"/>
      <c r="AG82" s="219">
        <f t="shared" si="15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6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231721872</v>
      </c>
      <c r="E83" s="86"/>
      <c r="F83" s="87"/>
      <c r="G83" s="88"/>
      <c r="H83" s="342">
        <f t="shared" ref="H83:AG83" si="17">SUM(H34:H82)</f>
        <v>230574244.59999999</v>
      </c>
      <c r="I83" s="255">
        <f t="shared" si="17"/>
        <v>0</v>
      </c>
      <c r="J83" s="256">
        <f t="shared" si="17"/>
        <v>0</v>
      </c>
      <c r="K83" s="256">
        <f t="shared" si="17"/>
        <v>73578944.600000009</v>
      </c>
      <c r="L83" s="256">
        <f t="shared" si="17"/>
        <v>8936900</v>
      </c>
      <c r="M83" s="256">
        <f t="shared" si="17"/>
        <v>51837681</v>
      </c>
      <c r="N83" s="256">
        <f t="shared" si="17"/>
        <v>0</v>
      </c>
      <c r="O83" s="256">
        <f t="shared" si="17"/>
        <v>0</v>
      </c>
      <c r="P83" s="256">
        <f t="shared" si="17"/>
        <v>5595317</v>
      </c>
      <c r="Q83" s="256">
        <f t="shared" si="17"/>
        <v>19227546</v>
      </c>
      <c r="R83" s="117">
        <f t="shared" si="17"/>
        <v>58141609.100000001</v>
      </c>
      <c r="S83" s="117">
        <f t="shared" si="17"/>
        <v>13256246.9</v>
      </c>
      <c r="T83" s="117">
        <f t="shared" si="17"/>
        <v>0</v>
      </c>
      <c r="U83" s="241">
        <f t="shared" si="17"/>
        <v>0</v>
      </c>
      <c r="V83" s="241">
        <f t="shared" si="17"/>
        <v>0</v>
      </c>
      <c r="W83" s="241">
        <f t="shared" si="17"/>
        <v>73578944.799999997</v>
      </c>
      <c r="X83" s="241">
        <f t="shared" si="17"/>
        <v>8936900</v>
      </c>
      <c r="Y83" s="241">
        <f t="shared" si="17"/>
        <v>51837681</v>
      </c>
      <c r="Z83" s="241">
        <f t="shared" si="17"/>
        <v>0</v>
      </c>
      <c r="AA83" s="241">
        <f t="shared" si="17"/>
        <v>0</v>
      </c>
      <c r="AB83" s="241">
        <f t="shared" si="17"/>
        <v>0</v>
      </c>
      <c r="AC83" s="527">
        <f t="shared" si="17"/>
        <v>20760413</v>
      </c>
      <c r="AD83" s="241">
        <f t="shared" si="17"/>
        <v>52634104.100000001</v>
      </c>
      <c r="AE83" s="241">
        <f t="shared" si="17"/>
        <v>15465232</v>
      </c>
      <c r="AF83" s="241">
        <f t="shared" si="17"/>
        <v>0</v>
      </c>
      <c r="AG83" s="241">
        <f t="shared" si="17"/>
        <v>223213274.90000001</v>
      </c>
      <c r="AH83" s="125">
        <f>+H83-AG83</f>
        <v>7360969.6999999881</v>
      </c>
      <c r="AK83" s="425">
        <f t="shared" ref="AK83:AX83" si="18">SUM(AK34:AK82)</f>
        <v>0</v>
      </c>
      <c r="AL83" s="425">
        <f t="shared" si="18"/>
        <v>0</v>
      </c>
      <c r="AM83" s="425">
        <f t="shared" si="18"/>
        <v>0</v>
      </c>
      <c r="AN83" s="425">
        <f t="shared" si="18"/>
        <v>0</v>
      </c>
      <c r="AO83" s="425">
        <f t="shared" si="18"/>
        <v>0</v>
      </c>
      <c r="AP83" s="425">
        <f t="shared" si="18"/>
        <v>0</v>
      </c>
      <c r="AQ83" s="425">
        <f t="shared" si="18"/>
        <v>16545736</v>
      </c>
      <c r="AR83" s="425">
        <f t="shared" si="18"/>
        <v>63874558</v>
      </c>
      <c r="AS83" s="425">
        <f t="shared" si="18"/>
        <v>0</v>
      </c>
      <c r="AT83" s="425">
        <f t="shared" si="18"/>
        <v>0</v>
      </c>
      <c r="AU83" s="425">
        <f t="shared" si="18"/>
        <v>0</v>
      </c>
      <c r="AV83" s="438">
        <f t="shared" si="18"/>
        <v>0</v>
      </c>
      <c r="AW83" s="451">
        <f t="shared" si="18"/>
        <v>80420294</v>
      </c>
      <c r="AX83" s="429">
        <f t="shared" si="18"/>
        <v>142792980.89999998</v>
      </c>
    </row>
    <row r="84" spans="1:50" s="376" customFormat="1" ht="15.75" thickBot="1">
      <c r="D84" s="377"/>
      <c r="E84" s="378"/>
      <c r="F84" s="378"/>
      <c r="G84" s="378"/>
      <c r="I84" s="207"/>
      <c r="J84" s="207"/>
      <c r="K84" s="207"/>
      <c r="L84" s="207"/>
      <c r="M84" s="207"/>
      <c r="N84" s="207"/>
      <c r="O84" s="207"/>
      <c r="P84" s="207"/>
      <c r="Q84" s="754" t="s">
        <v>146</v>
      </c>
      <c r="R84" s="755"/>
      <c r="S84" s="755"/>
      <c r="T84" s="755"/>
      <c r="U84" s="395">
        <v>3449860</v>
      </c>
      <c r="V84" s="396">
        <v>3449861</v>
      </c>
      <c r="W84" s="395">
        <v>3449862</v>
      </c>
      <c r="X84" s="396">
        <v>3449863</v>
      </c>
      <c r="Y84" s="395">
        <v>3452149</v>
      </c>
      <c r="Z84" s="396">
        <v>3467822</v>
      </c>
      <c r="AA84" s="395">
        <v>3479949</v>
      </c>
      <c r="AB84" s="396">
        <v>3491820</v>
      </c>
      <c r="AC84" s="478">
        <v>3510152</v>
      </c>
      <c r="AD84" s="396">
        <v>3513781</v>
      </c>
      <c r="AE84" s="395"/>
      <c r="AF84" s="395"/>
      <c r="AG84" s="379"/>
    </row>
    <row r="85" spans="1:50" ht="15.75" thickBot="1">
      <c r="A85" s="761" t="s">
        <v>94</v>
      </c>
      <c r="B85" s="762"/>
      <c r="C85" s="763"/>
      <c r="D85" s="133">
        <f>+D83+D30</f>
        <v>1895961747</v>
      </c>
      <c r="E85" s="127"/>
      <c r="F85" s="128"/>
      <c r="G85" s="128"/>
      <c r="H85" s="129">
        <f>+H30</f>
        <v>1794794165</v>
      </c>
      <c r="I85" s="215">
        <f t="shared" ref="I85:AH85" si="19">+I83+I30</f>
        <v>139430758</v>
      </c>
      <c r="J85" s="215">
        <f t="shared" si="19"/>
        <v>138022932</v>
      </c>
      <c r="K85" s="215">
        <f t="shared" si="19"/>
        <v>212305789.60000002</v>
      </c>
      <c r="L85" s="215">
        <f t="shared" si="19"/>
        <v>174138422</v>
      </c>
      <c r="M85" s="215">
        <f t="shared" si="19"/>
        <v>190564526</v>
      </c>
      <c r="N85" s="215">
        <f t="shared" si="19"/>
        <v>165734050</v>
      </c>
      <c r="O85" s="215">
        <f t="shared" si="19"/>
        <v>138726845</v>
      </c>
      <c r="P85" s="215">
        <f t="shared" si="19"/>
        <v>144322162</v>
      </c>
      <c r="Q85" s="215">
        <f t="shared" si="19"/>
        <v>207454788</v>
      </c>
      <c r="R85" s="130">
        <f t="shared" si="19"/>
        <v>196707699.09999999</v>
      </c>
      <c r="S85" s="130">
        <f t="shared" si="19"/>
        <v>151822336.90000001</v>
      </c>
      <c r="T85" s="131">
        <f t="shared" si="19"/>
        <v>166138101</v>
      </c>
      <c r="U85" s="242">
        <f t="shared" si="19"/>
        <v>139430758</v>
      </c>
      <c r="V85" s="215">
        <f t="shared" si="19"/>
        <v>138022932</v>
      </c>
      <c r="W85" s="285">
        <f t="shared" si="19"/>
        <v>212305789.80000001</v>
      </c>
      <c r="X85" s="242">
        <f t="shared" si="19"/>
        <v>174138422</v>
      </c>
      <c r="Y85" s="215">
        <f t="shared" si="19"/>
        <v>190564526</v>
      </c>
      <c r="Z85" s="285">
        <f t="shared" si="19"/>
        <v>165734050</v>
      </c>
      <c r="AA85" s="242">
        <f t="shared" si="19"/>
        <v>138726845</v>
      </c>
      <c r="AB85" s="215">
        <f t="shared" si="19"/>
        <v>138726845</v>
      </c>
      <c r="AC85" s="525">
        <f t="shared" si="19"/>
        <v>208987655</v>
      </c>
      <c r="AD85" s="242">
        <f t="shared" si="19"/>
        <v>191200194.09999999</v>
      </c>
      <c r="AE85" s="215">
        <f t="shared" si="19"/>
        <v>154031322</v>
      </c>
      <c r="AF85" s="285">
        <f t="shared" si="19"/>
        <v>166138101</v>
      </c>
      <c r="AG85" s="282">
        <f t="shared" si="19"/>
        <v>2018007439.9000001</v>
      </c>
      <c r="AH85" s="132">
        <f t="shared" si="19"/>
        <v>7360969.6999999881</v>
      </c>
    </row>
    <row r="87" spans="1:50" ht="15" thickBot="1">
      <c r="D87" s="1"/>
      <c r="E87" s="1"/>
      <c r="F87" s="1"/>
      <c r="G87" s="1"/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489759479.80000001</v>
      </c>
    </row>
    <row r="90" spans="1:50">
      <c r="A90" s="276" t="s">
        <v>120</v>
      </c>
      <c r="B90" s="706" t="s">
        <v>124</v>
      </c>
      <c r="C90" s="707"/>
      <c r="D90" s="277">
        <f>+X85+Y85+Z85</f>
        <v>530436998</v>
      </c>
      <c r="X90" s="207">
        <v>530436998</v>
      </c>
    </row>
    <row r="91" spans="1:50">
      <c r="A91" s="276" t="s">
        <v>121</v>
      </c>
      <c r="B91" s="706" t="s">
        <v>125</v>
      </c>
      <c r="C91" s="707"/>
      <c r="D91" s="277">
        <f>+AA85+AB85+AC85</f>
        <v>486441345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511369617.10000002</v>
      </c>
    </row>
    <row r="93" spans="1:50" ht="15.75" customHeight="1" thickBot="1">
      <c r="A93" s="756" t="s">
        <v>117</v>
      </c>
      <c r="B93" s="757"/>
      <c r="C93" s="757"/>
      <c r="D93" s="280">
        <f>SUM(D89:D92)</f>
        <v>2018007439.9000001</v>
      </c>
    </row>
    <row r="97" spans="2:5" ht="15">
      <c r="B97" s="509" t="s">
        <v>234</v>
      </c>
      <c r="E97" s="1"/>
    </row>
    <row r="98" spans="2:5">
      <c r="B98" s="700" t="s">
        <v>240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/>
    </row>
    <row r="103" spans="2:5" ht="15">
      <c r="C103" s="508" t="s">
        <v>236</v>
      </c>
      <c r="D103" s="511">
        <v>3254867</v>
      </c>
    </row>
    <row r="104" spans="2:5">
      <c r="D104" s="6">
        <f>SUM(D102:D103)</f>
        <v>3254867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16:H18 H2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BA104"/>
  <sheetViews>
    <sheetView topLeftCell="A36" zoomScale="70" zoomScaleNormal="70" workbookViewId="0">
      <selection activeCell="AF44" sqref="AF44"/>
    </sheetView>
  </sheetViews>
  <sheetFormatPr baseColWidth="10" defaultRowHeight="14.25"/>
  <cols>
    <col min="1" max="1" width="4.85546875" style="1" customWidth="1"/>
    <col min="2" max="2" width="54.85546875" style="1" bestFit="1" customWidth="1"/>
    <col min="3" max="3" width="30.5703125" style="1" customWidth="1"/>
    <col min="4" max="4" width="18.85546875" style="6" customWidth="1"/>
    <col min="5" max="5" width="19" style="4" customWidth="1"/>
    <col min="6" max="6" width="15.28515625" style="4" customWidth="1"/>
    <col min="7" max="7" width="14.85546875" style="4" customWidth="1"/>
    <col min="8" max="8" width="22.140625" style="207" customWidth="1"/>
    <col min="9" max="9" width="16.7109375" style="207" hidden="1" customWidth="1"/>
    <col min="10" max="10" width="18.28515625" style="207" hidden="1" customWidth="1"/>
    <col min="11" max="12" width="17.140625" style="207" hidden="1" customWidth="1"/>
    <col min="13" max="13" width="15.7109375" style="207" hidden="1" customWidth="1"/>
    <col min="14" max="14" width="17.42578125" style="207" hidden="1" customWidth="1"/>
    <col min="15" max="16" width="17.140625" style="207" hidden="1" customWidth="1"/>
    <col min="17" max="17" width="13.7109375" style="207" hidden="1" customWidth="1"/>
    <col min="18" max="18" width="14.28515625" style="207" hidden="1" customWidth="1"/>
    <col min="19" max="19" width="17.140625" style="207" customWidth="1"/>
    <col min="20" max="20" width="15.42578125" style="207" customWidth="1"/>
    <col min="21" max="21" width="17.42578125" style="207" hidden="1" customWidth="1"/>
    <col min="22" max="24" width="17.140625" style="207" hidden="1" customWidth="1"/>
    <col min="25" max="26" width="17.42578125" style="207" hidden="1" customWidth="1"/>
    <col min="27" max="28" width="17.140625" style="207" hidden="1" customWidth="1"/>
    <col min="29" max="29" width="17.7109375" style="207" hidden="1" customWidth="1"/>
    <col min="30" max="30" width="16.7109375" style="207" hidden="1" customWidth="1"/>
    <col min="31" max="31" width="16.7109375" style="207" customWidth="1"/>
    <col min="32" max="32" width="15.42578125" style="207" customWidth="1"/>
    <col min="33" max="33" width="22.140625" style="207" customWidth="1"/>
    <col min="34" max="34" width="16.7109375" style="1" customWidth="1"/>
    <col min="35" max="35" width="11.42578125" style="1" customWidth="1"/>
    <col min="36" max="36" width="17.42578125" style="1" customWidth="1"/>
    <col min="37" max="37" width="17.85546875" style="1" hidden="1" customWidth="1"/>
    <col min="38" max="38" width="11.42578125" style="1" hidden="1" customWidth="1"/>
    <col min="39" max="39" width="13.85546875" style="1" hidden="1" customWidth="1"/>
    <col min="40" max="40" width="10" style="1" hidden="1" customWidth="1"/>
    <col min="41" max="41" width="13.140625" style="1" hidden="1" customWidth="1"/>
    <col min="42" max="42" width="12.85546875" style="1" hidden="1" customWidth="1"/>
    <col min="43" max="43" width="13.140625" style="1" hidden="1" customWidth="1"/>
    <col min="44" max="44" width="14" style="1" hidden="1" customWidth="1"/>
    <col min="45" max="45" width="14.140625" style="1" hidden="1" customWidth="1"/>
    <col min="46" max="46" width="13.7109375" style="1" hidden="1" customWidth="1"/>
    <col min="47" max="47" width="16.71093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4.85546875" style="1" bestFit="1" customWidth="1"/>
    <col min="52" max="52" width="11.42578125" style="1"/>
    <col min="53" max="53" width="16.7109375" style="1" bestFit="1" customWidth="1"/>
    <col min="54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84" t="s">
        <v>3</v>
      </c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  <c r="AD5" s="784"/>
    </row>
    <row r="6" spans="1:34" ht="14.25" customHeight="1"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4"/>
      <c r="X6" s="784"/>
      <c r="Y6" s="784"/>
      <c r="Z6" s="784"/>
      <c r="AA6" s="784"/>
      <c r="AB6" s="784"/>
      <c r="AC6" s="784"/>
      <c r="AD6" s="784"/>
    </row>
    <row r="7" spans="1:34">
      <c r="H7" s="784"/>
      <c r="I7" s="784"/>
      <c r="J7" s="784"/>
      <c r="K7" s="784"/>
      <c r="L7" s="784"/>
      <c r="M7" s="784"/>
      <c r="N7" s="784"/>
      <c r="O7" s="784"/>
      <c r="P7" s="784"/>
      <c r="Q7" s="784"/>
      <c r="R7" s="784"/>
      <c r="S7" s="784"/>
      <c r="T7" s="784"/>
      <c r="U7" s="784"/>
      <c r="V7" s="784"/>
      <c r="W7" s="784"/>
      <c r="X7" s="784"/>
      <c r="Y7" s="784"/>
      <c r="Z7" s="784"/>
      <c r="AA7" s="784"/>
      <c r="AB7" s="784"/>
      <c r="AC7" s="784"/>
      <c r="AD7" s="784"/>
    </row>
    <row r="10" spans="1:34">
      <c r="B10" s="3" t="s">
        <v>48</v>
      </c>
    </row>
    <row r="11" spans="1:34">
      <c r="B11" s="3" t="s">
        <v>49</v>
      </c>
    </row>
    <row r="12" spans="1:34">
      <c r="B12" s="3" t="s">
        <v>70</v>
      </c>
    </row>
    <row r="13" spans="1:34" ht="15" thickBot="1"/>
    <row r="14" spans="1:34" ht="70.5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74" t="s">
        <v>38</v>
      </c>
      <c r="I14" s="775"/>
      <c r="J14" s="775"/>
      <c r="K14" s="775"/>
      <c r="L14" s="775"/>
      <c r="M14" s="775"/>
      <c r="N14" s="785"/>
      <c r="O14" s="777"/>
      <c r="P14" s="777"/>
      <c r="Q14" s="777"/>
      <c r="R14" s="777"/>
      <c r="S14" s="777"/>
      <c r="T14" s="778"/>
      <c r="U14" s="768" t="s">
        <v>39</v>
      </c>
      <c r="V14" s="769"/>
      <c r="W14" s="769"/>
      <c r="X14" s="769"/>
      <c r="Y14" s="769"/>
      <c r="Z14" s="769"/>
      <c r="AA14" s="769"/>
      <c r="AB14" s="769"/>
      <c r="AC14" s="769"/>
      <c r="AD14" s="769"/>
      <c r="AE14" s="769"/>
      <c r="AF14" s="769"/>
      <c r="AG14" s="770"/>
    </row>
    <row r="15" spans="1:34" ht="30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278555540*12</f>
        <v>3342666480</v>
      </c>
      <c r="E16" s="22"/>
      <c r="F16" s="23"/>
      <c r="G16" s="24"/>
      <c r="H16" s="322">
        <f>SUM(I16:T16)</f>
        <v>3342666480</v>
      </c>
      <c r="I16" s="250">
        <v>278555540</v>
      </c>
      <c r="J16" s="217">
        <v>278555540</v>
      </c>
      <c r="K16" s="217">
        <v>278555540</v>
      </c>
      <c r="L16" s="217">
        <v>278555540</v>
      </c>
      <c r="M16" s="212">
        <v>278555540</v>
      </c>
      <c r="N16" s="217">
        <v>278555540</v>
      </c>
      <c r="O16" s="212">
        <v>278555540</v>
      </c>
      <c r="P16" s="212">
        <v>278555540</v>
      </c>
      <c r="Q16" s="212">
        <v>278555540</v>
      </c>
      <c r="R16" s="212">
        <v>278555540</v>
      </c>
      <c r="S16" s="212">
        <v>278555540</v>
      </c>
      <c r="T16" s="248">
        <v>278555540</v>
      </c>
      <c r="U16" s="234">
        <v>278555540</v>
      </c>
      <c r="V16" s="217">
        <v>278555540</v>
      </c>
      <c r="W16" s="217">
        <v>278555540</v>
      </c>
      <c r="X16" s="217">
        <v>278555540</v>
      </c>
      <c r="Y16" s="209">
        <v>278555540</v>
      </c>
      <c r="Z16" s="217">
        <v>278555540</v>
      </c>
      <c r="AA16" s="209">
        <v>278555540</v>
      </c>
      <c r="AB16" s="209">
        <v>278555540</v>
      </c>
      <c r="AC16" s="209">
        <v>278555540</v>
      </c>
      <c r="AD16" s="209">
        <f>222844432+55711108</f>
        <v>278555540</v>
      </c>
      <c r="AE16" s="209">
        <v>278555540</v>
      </c>
      <c r="AF16" s="225">
        <v>278555540</v>
      </c>
      <c r="AG16" s="226">
        <f>SUM(U16:AF16)</f>
        <v>3342666480</v>
      </c>
      <c r="AH16" s="123">
        <f t="shared" ref="AH16:AH30" si="0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>
        <f>3960601*12</f>
        <v>47527212</v>
      </c>
      <c r="E17" s="15"/>
      <c r="F17" s="14"/>
      <c r="G17" s="16"/>
      <c r="H17" s="324">
        <f>SUM(I17:T17)</f>
        <v>47527212</v>
      </c>
      <c r="I17" s="252">
        <v>3960601</v>
      </c>
      <c r="J17" s="217">
        <v>3960601</v>
      </c>
      <c r="K17" s="217">
        <v>3960601</v>
      </c>
      <c r="L17" s="217">
        <v>3960601</v>
      </c>
      <c r="M17" s="206">
        <v>3960601</v>
      </c>
      <c r="N17" s="217">
        <v>3960601</v>
      </c>
      <c r="O17" s="206">
        <v>3960601</v>
      </c>
      <c r="P17" s="206">
        <v>3960601</v>
      </c>
      <c r="Q17" s="206">
        <v>3960601</v>
      </c>
      <c r="R17" s="206">
        <v>3960601</v>
      </c>
      <c r="S17" s="206">
        <v>3960601</v>
      </c>
      <c r="T17" s="227">
        <v>3960601</v>
      </c>
      <c r="U17" s="235">
        <v>3960601</v>
      </c>
      <c r="V17" s="217">
        <v>3960601</v>
      </c>
      <c r="W17" s="217">
        <v>3960601</v>
      </c>
      <c r="X17" s="217">
        <v>3960601</v>
      </c>
      <c r="Y17" s="206">
        <v>3960601</v>
      </c>
      <c r="Z17" s="217">
        <v>3960601</v>
      </c>
      <c r="AA17" s="206">
        <v>3960601</v>
      </c>
      <c r="AB17" s="206">
        <v>3960601</v>
      </c>
      <c r="AC17" s="206">
        <v>3960601</v>
      </c>
      <c r="AD17" s="206">
        <v>3960601</v>
      </c>
      <c r="AE17" s="206">
        <v>3960601</v>
      </c>
      <c r="AF17" s="227">
        <v>3960601</v>
      </c>
      <c r="AG17" s="228">
        <f t="shared" ref="AG17:AG29" si="1">SUM(U17:AF17)</f>
        <v>47527212</v>
      </c>
      <c r="AH17" s="124">
        <f t="shared" si="0"/>
        <v>0</v>
      </c>
    </row>
    <row r="18" spans="1:48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4">
        <f t="shared" ref="H18:H29" si="2">SUM(I18:T18)</f>
        <v>0</v>
      </c>
      <c r="I18" s="252"/>
      <c r="J18" s="217">
        <v>0</v>
      </c>
      <c r="K18" s="206"/>
      <c r="L18" s="217">
        <v>0</v>
      </c>
      <c r="M18" s="206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>
        <v>0</v>
      </c>
      <c r="U18" s="235"/>
      <c r="V18" s="217">
        <v>0</v>
      </c>
      <c r="W18" s="206"/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>
        <v>0</v>
      </c>
      <c r="AG18" s="228">
        <f t="shared" si="1"/>
        <v>0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-668980*12</f>
        <v>-8027760</v>
      </c>
      <c r="E19" s="15"/>
      <c r="F19" s="14"/>
      <c r="G19" s="16"/>
      <c r="H19" s="324">
        <f t="shared" si="2"/>
        <v>-9450573</v>
      </c>
      <c r="I19" s="252">
        <v>-668980</v>
      </c>
      <c r="J19" s="217">
        <v>-668980</v>
      </c>
      <c r="K19" s="217">
        <v>-668980</v>
      </c>
      <c r="L19" s="217">
        <v>-668980</v>
      </c>
      <c r="M19" s="206">
        <v>-668980</v>
      </c>
      <c r="N19" s="217">
        <v>-668980</v>
      </c>
      <c r="O19" s="206">
        <v>-668980</v>
      </c>
      <c r="P19" s="206">
        <v>-668980</v>
      </c>
      <c r="Q19" s="206">
        <v>-668980</v>
      </c>
      <c r="R19" s="206">
        <v>-1143251</v>
      </c>
      <c r="S19" s="206">
        <v>-1143251</v>
      </c>
      <c r="T19" s="227">
        <v>-1143251</v>
      </c>
      <c r="U19" s="235">
        <v>-668980</v>
      </c>
      <c r="V19" s="217">
        <v>-668980</v>
      </c>
      <c r="W19" s="206">
        <v>-668980</v>
      </c>
      <c r="X19" s="217">
        <v>-668980</v>
      </c>
      <c r="Y19" s="206">
        <v>-668980</v>
      </c>
      <c r="Z19" s="217">
        <v>-668980</v>
      </c>
      <c r="AA19" s="206">
        <v>-668980</v>
      </c>
      <c r="AB19" s="206">
        <v>-668980</v>
      </c>
      <c r="AC19" s="206">
        <v>-668980</v>
      </c>
      <c r="AD19" s="206">
        <v>-1143251</v>
      </c>
      <c r="AE19" s="206">
        <v>-1143251</v>
      </c>
      <c r="AF19" s="227">
        <v>-1143251</v>
      </c>
      <c r="AG19" s="228">
        <f t="shared" si="1"/>
        <v>-9450573</v>
      </c>
      <c r="AH19" s="124">
        <f t="shared" si="0"/>
        <v>0</v>
      </c>
    </row>
    <row r="20" spans="1:48" ht="29.25" hidden="1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284608*12</f>
        <v>3415296</v>
      </c>
      <c r="E21" s="15"/>
      <c r="F21" s="14"/>
      <c r="G21" s="16"/>
      <c r="H21" s="324">
        <f t="shared" si="2"/>
        <v>3218348.31</v>
      </c>
      <c r="I21" s="252">
        <v>284608</v>
      </c>
      <c r="J21" s="217">
        <v>300547</v>
      </c>
      <c r="K21" s="217">
        <v>292577.31</v>
      </c>
      <c r="L21" s="217">
        <v>292577</v>
      </c>
      <c r="M21" s="65">
        <v>292577</v>
      </c>
      <c r="N21" s="65">
        <v>292577</v>
      </c>
      <c r="O21" s="206">
        <v>292577</v>
      </c>
      <c r="P21" s="206">
        <v>292577</v>
      </c>
      <c r="Q21" s="206">
        <v>292577</v>
      </c>
      <c r="R21" s="206">
        <v>292577</v>
      </c>
      <c r="S21" s="206">
        <v>292577</v>
      </c>
      <c r="T21" s="227"/>
      <c r="U21" s="235">
        <v>284608</v>
      </c>
      <c r="V21" s="217">
        <v>300547</v>
      </c>
      <c r="W21" s="217">
        <v>292577</v>
      </c>
      <c r="X21" s="217">
        <v>292577</v>
      </c>
      <c r="Y21" s="206">
        <v>292577</v>
      </c>
      <c r="Z21" s="65">
        <v>292577</v>
      </c>
      <c r="AA21" s="206">
        <v>292577</v>
      </c>
      <c r="AB21" s="206">
        <v>292577</v>
      </c>
      <c r="AC21" s="206">
        <v>292577</v>
      </c>
      <c r="AD21" s="206">
        <v>292577</v>
      </c>
      <c r="AE21" s="206">
        <v>292577</v>
      </c>
      <c r="AF21" s="227"/>
      <c r="AG21" s="228">
        <f t="shared" si="1"/>
        <v>3218348</v>
      </c>
      <c r="AH21" s="124">
        <f t="shared" si="0"/>
        <v>0.31000000005587935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128528761</v>
      </c>
      <c r="I22" s="252"/>
      <c r="J22" s="217"/>
      <c r="K22" s="217"/>
      <c r="L22" s="217">
        <v>31541913</v>
      </c>
      <c r="M22" s="65"/>
      <c r="N22" s="65">
        <v>32925996</v>
      </c>
      <c r="O22" s="206"/>
      <c r="P22" s="206"/>
      <c r="Q22" s="206">
        <v>32319893</v>
      </c>
      <c r="R22" s="206"/>
      <c r="S22" s="206"/>
      <c r="T22" s="227">
        <v>31740959</v>
      </c>
      <c r="U22" s="235"/>
      <c r="V22" s="217"/>
      <c r="W22" s="217"/>
      <c r="X22" s="217">
        <v>31541913</v>
      </c>
      <c r="Y22" s="206"/>
      <c r="Z22" s="65">
        <v>32925996</v>
      </c>
      <c r="AA22" s="206"/>
      <c r="AB22" s="206"/>
      <c r="AC22" s="206">
        <v>32319893</v>
      </c>
      <c r="AD22" s="206"/>
      <c r="AE22" s="206"/>
      <c r="AF22" s="227">
        <v>31740959</v>
      </c>
      <c r="AG22" s="228">
        <f>SUM(U22:AF22)</f>
        <v>128528761</v>
      </c>
      <c r="AH22" s="124">
        <f t="shared" si="0"/>
        <v>0</v>
      </c>
      <c r="AK22" s="473">
        <f>+X21+X22+X23+X24</f>
        <v>68412029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148494328</v>
      </c>
      <c r="I23" s="252"/>
      <c r="J23" s="217"/>
      <c r="K23" s="217"/>
      <c r="L23" s="217">
        <v>36441626</v>
      </c>
      <c r="M23" s="206"/>
      <c r="N23" s="65">
        <v>38040653</v>
      </c>
      <c r="O23" s="206"/>
      <c r="P23" s="206"/>
      <c r="Q23" s="206">
        <v>37340457</v>
      </c>
      <c r="R23" s="206"/>
      <c r="S23" s="206"/>
      <c r="T23" s="227">
        <v>36671592</v>
      </c>
      <c r="U23" s="235"/>
      <c r="V23" s="217"/>
      <c r="W23" s="217"/>
      <c r="X23" s="217">
        <v>36441626</v>
      </c>
      <c r="Y23" s="206"/>
      <c r="Z23" s="65">
        <v>38040653</v>
      </c>
      <c r="AA23" s="206"/>
      <c r="AB23" s="206"/>
      <c r="AC23" s="206">
        <v>37340457</v>
      </c>
      <c r="AD23" s="206"/>
      <c r="AE23" s="206"/>
      <c r="AF23" s="227">
        <v>36671592</v>
      </c>
      <c r="AG23" s="228">
        <f>SUM(U23:AF23)</f>
        <v>148494328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135913*12</f>
        <v>1630956</v>
      </c>
      <c r="E24" s="15"/>
      <c r="F24" s="14"/>
      <c r="G24" s="16"/>
      <c r="H24" s="324">
        <f t="shared" si="2"/>
        <v>1630956</v>
      </c>
      <c r="I24" s="252">
        <v>135913</v>
      </c>
      <c r="J24" s="217">
        <v>135913</v>
      </c>
      <c r="K24" s="217">
        <v>135913</v>
      </c>
      <c r="L24" s="217">
        <v>135913</v>
      </c>
      <c r="M24" s="206">
        <v>135913</v>
      </c>
      <c r="N24" s="65">
        <v>135913</v>
      </c>
      <c r="O24" s="206">
        <v>135913</v>
      </c>
      <c r="P24" s="206">
        <v>135913</v>
      </c>
      <c r="Q24" s="206">
        <v>135913</v>
      </c>
      <c r="R24" s="206">
        <v>135913</v>
      </c>
      <c r="S24" s="206">
        <v>135913</v>
      </c>
      <c r="T24" s="227">
        <v>135913</v>
      </c>
      <c r="U24" s="235">
        <v>135913</v>
      </c>
      <c r="V24" s="217">
        <v>135913</v>
      </c>
      <c r="W24" s="217">
        <v>135913</v>
      </c>
      <c r="X24" s="217">
        <v>135913</v>
      </c>
      <c r="Y24" s="206">
        <v>135913</v>
      </c>
      <c r="Z24" s="65">
        <v>135913</v>
      </c>
      <c r="AA24" s="206">
        <v>135913</v>
      </c>
      <c r="AB24" s="206">
        <v>135913</v>
      </c>
      <c r="AC24" s="206">
        <v>135913</v>
      </c>
      <c r="AD24" s="206">
        <v>135913</v>
      </c>
      <c r="AE24" s="206">
        <v>135913</v>
      </c>
      <c r="AF24" s="227">
        <v>135913</v>
      </c>
      <c r="AG24" s="228">
        <f t="shared" si="1"/>
        <v>1630956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24">
        <f t="shared" si="2"/>
        <v>0</v>
      </c>
      <c r="I25" s="252"/>
      <c r="J25" s="217">
        <v>0</v>
      </c>
      <c r="K25" s="206"/>
      <c r="L25" s="206"/>
      <c r="M25" s="206"/>
      <c r="N25" s="206"/>
      <c r="O25" s="206"/>
      <c r="P25" s="206"/>
      <c r="Q25" s="206"/>
      <c r="R25" s="206"/>
      <c r="S25" s="206"/>
      <c r="T25" s="227"/>
      <c r="U25" s="2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si="1"/>
        <v>0</v>
      </c>
      <c r="AH25" s="124">
        <f t="shared" si="0"/>
        <v>0</v>
      </c>
    </row>
    <row r="26" spans="1:48" ht="15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4">
        <f t="shared" si="2"/>
        <v>0</v>
      </c>
      <c r="I26" s="252"/>
      <c r="J26" s="217"/>
      <c r="K26" s="206"/>
      <c r="L26" s="206"/>
      <c r="M26" s="206"/>
      <c r="N26" s="206"/>
      <c r="O26" s="206"/>
      <c r="P26" s="206"/>
      <c r="Q26" s="206"/>
      <c r="R26" s="206"/>
      <c r="S26" s="206"/>
      <c r="T26" s="227"/>
      <c r="U26" s="2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34147498</v>
      </c>
      <c r="I27" s="252"/>
      <c r="J27" s="217"/>
      <c r="K27" s="206"/>
      <c r="L27" s="206"/>
      <c r="M27" s="206"/>
      <c r="N27" s="206"/>
      <c r="O27" s="206"/>
      <c r="P27" s="206"/>
      <c r="Q27" s="206">
        <v>34147498</v>
      </c>
      <c r="R27" s="206"/>
      <c r="S27" s="206"/>
      <c r="T27" s="227"/>
      <c r="U27" s="235"/>
      <c r="V27" s="217"/>
      <c r="W27" s="206"/>
      <c r="X27" s="206"/>
      <c r="Y27" s="206"/>
      <c r="Z27" s="206"/>
      <c r="AA27" s="206"/>
      <c r="AB27" s="206"/>
      <c r="AC27" s="65">
        <v>34147498</v>
      </c>
      <c r="AD27" s="206"/>
      <c r="AE27" s="206"/>
      <c r="AF27" s="227"/>
      <c r="AG27" s="228">
        <f t="shared" si="1"/>
        <v>34147498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32595339</v>
      </c>
      <c r="I28" s="252"/>
      <c r="J28" s="217"/>
      <c r="K28" s="206"/>
      <c r="L28" s="206"/>
      <c r="M28" s="206"/>
      <c r="N28" s="206"/>
      <c r="O28" s="206"/>
      <c r="P28" s="206"/>
      <c r="Q28" s="206">
        <v>32595339</v>
      </c>
      <c r="R28" s="206"/>
      <c r="S28" s="206"/>
      <c r="T28" s="227"/>
      <c r="U28" s="235"/>
      <c r="V28" s="217"/>
      <c r="W28" s="206"/>
      <c r="X28" s="206"/>
      <c r="Y28" s="206"/>
      <c r="Z28" s="206"/>
      <c r="AA28" s="206"/>
      <c r="AB28" s="206"/>
      <c r="AC28" s="65">
        <v>32595339</v>
      </c>
      <c r="AD28" s="206"/>
      <c r="AE28" s="206"/>
      <c r="AF28" s="227"/>
      <c r="AG28" s="228">
        <f t="shared" si="1"/>
        <v>32595339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24">
        <f t="shared" si="2"/>
        <v>39260419.478542328</v>
      </c>
      <c r="I29" s="252"/>
      <c r="J29" s="217"/>
      <c r="K29" s="206"/>
      <c r="L29" s="206"/>
      <c r="M29" s="206"/>
      <c r="N29" s="206"/>
      <c r="O29" s="206"/>
      <c r="P29" s="206"/>
      <c r="Q29" s="206"/>
      <c r="R29" s="206"/>
      <c r="S29" s="206">
        <v>39260419.478542328</v>
      </c>
      <c r="T29" s="227"/>
      <c r="U29" s="235"/>
      <c r="V29" s="217"/>
      <c r="W29" s="206"/>
      <c r="X29" s="206"/>
      <c r="Y29" s="206"/>
      <c r="Z29" s="206"/>
      <c r="AA29" s="206"/>
      <c r="AB29" s="206"/>
      <c r="AC29" s="65"/>
      <c r="AD29" s="206"/>
      <c r="AE29" s="206">
        <v>39260419.478542328</v>
      </c>
      <c r="AF29" s="227"/>
      <c r="AG29" s="228">
        <f t="shared" si="1"/>
        <v>39260419.478542328</v>
      </c>
      <c r="AH29" s="124"/>
    </row>
    <row r="30" spans="1:48" ht="15.75" thickBot="1">
      <c r="A30" s="743" t="s">
        <v>36</v>
      </c>
      <c r="B30" s="744"/>
      <c r="C30" s="89"/>
      <c r="D30" s="90">
        <f>SUM(D16:D26)</f>
        <v>3387212184</v>
      </c>
      <c r="E30" s="91"/>
      <c r="F30" s="92"/>
      <c r="G30" s="93"/>
      <c r="H30" s="362">
        <f>SUM(H16:H28)</f>
        <v>3729358349.3099999</v>
      </c>
      <c r="I30" s="363">
        <f>SUM(I16:I28)</f>
        <v>282267682</v>
      </c>
      <c r="J30" s="363">
        <f t="shared" ref="J30:O30" si="3">SUM(J16:J28)</f>
        <v>282283621</v>
      </c>
      <c r="K30" s="363">
        <f t="shared" si="3"/>
        <v>282275651.31</v>
      </c>
      <c r="L30" s="363">
        <f t="shared" si="3"/>
        <v>350259190</v>
      </c>
      <c r="M30" s="363">
        <f t="shared" si="3"/>
        <v>282275651</v>
      </c>
      <c r="N30" s="363">
        <f t="shared" si="3"/>
        <v>353242300</v>
      </c>
      <c r="O30" s="363">
        <f t="shared" si="3"/>
        <v>282275651</v>
      </c>
      <c r="P30" s="363">
        <f t="shared" ref="P30:AF30" si="4">SUM(P16:P28)</f>
        <v>282275651</v>
      </c>
      <c r="Q30" s="363">
        <f t="shared" si="4"/>
        <v>418678838</v>
      </c>
      <c r="R30" s="363">
        <f t="shared" si="4"/>
        <v>281801380</v>
      </c>
      <c r="S30" s="363">
        <f t="shared" si="4"/>
        <v>281801380</v>
      </c>
      <c r="T30" s="363">
        <f t="shared" si="4"/>
        <v>349921354</v>
      </c>
      <c r="U30" s="211">
        <f t="shared" si="4"/>
        <v>282267682</v>
      </c>
      <c r="V30" s="211">
        <f t="shared" si="4"/>
        <v>282283621</v>
      </c>
      <c r="W30" s="211">
        <f t="shared" si="4"/>
        <v>282275651</v>
      </c>
      <c r="X30" s="211">
        <f t="shared" si="4"/>
        <v>350259190</v>
      </c>
      <c r="Y30" s="211">
        <f t="shared" si="4"/>
        <v>282275651</v>
      </c>
      <c r="Z30" s="211">
        <f t="shared" si="4"/>
        <v>353242300</v>
      </c>
      <c r="AA30" s="211">
        <f t="shared" si="4"/>
        <v>282275651</v>
      </c>
      <c r="AB30" s="211">
        <f t="shared" si="4"/>
        <v>282275651</v>
      </c>
      <c r="AC30" s="211">
        <f t="shared" si="4"/>
        <v>418678838</v>
      </c>
      <c r="AD30" s="211">
        <f t="shared" si="4"/>
        <v>281801380</v>
      </c>
      <c r="AE30" s="211">
        <f t="shared" si="4"/>
        <v>281801380</v>
      </c>
      <c r="AF30" s="211">
        <f t="shared" si="4"/>
        <v>349921354</v>
      </c>
      <c r="AG30" s="339">
        <f>SUM(U30:AF30)</f>
        <v>3729358349</v>
      </c>
      <c r="AH30" s="119">
        <f t="shared" si="0"/>
        <v>0.30999994277954102</v>
      </c>
    </row>
    <row r="31" spans="1:48" ht="15" thickBot="1">
      <c r="C31" s="265">
        <v>22545572</v>
      </c>
      <c r="D31" s="149">
        <v>1</v>
      </c>
      <c r="E31" s="5">
        <v>0.7</v>
      </c>
      <c r="F31" s="5">
        <v>0.3</v>
      </c>
      <c r="G31" s="5">
        <v>8.3333333333333329E-2</v>
      </c>
      <c r="AT31" s="1">
        <v>4611725</v>
      </c>
      <c r="AU31" s="6">
        <v>6557170</v>
      </c>
      <c r="AV31" s="6">
        <v>11532610</v>
      </c>
    </row>
    <row r="32" spans="1:48" ht="68.25" customHeight="1" thickBot="1">
      <c r="A32" s="168"/>
      <c r="B32" s="786" t="s">
        <v>72</v>
      </c>
      <c r="C32" s="786"/>
      <c r="D32" s="787"/>
      <c r="E32" s="771" t="s">
        <v>25</v>
      </c>
      <c r="F32" s="772"/>
      <c r="G32" s="773"/>
      <c r="H32" s="774" t="s">
        <v>38</v>
      </c>
      <c r="I32" s="775"/>
      <c r="J32" s="775"/>
      <c r="K32" s="775"/>
      <c r="L32" s="775"/>
      <c r="M32" s="775"/>
      <c r="N32" s="776"/>
      <c r="O32" s="777"/>
      <c r="P32" s="777"/>
      <c r="Q32" s="777"/>
      <c r="R32" s="777"/>
      <c r="S32" s="777"/>
      <c r="T32" s="778"/>
      <c r="U32" s="779" t="s">
        <v>39</v>
      </c>
      <c r="V32" s="780"/>
      <c r="W32" s="780"/>
      <c r="X32" s="780"/>
      <c r="Y32" s="780"/>
      <c r="Z32" s="780"/>
      <c r="AA32" s="780"/>
      <c r="AB32" s="780"/>
      <c r="AC32" s="780"/>
      <c r="AD32" s="780"/>
      <c r="AE32" s="780"/>
      <c r="AF32" s="780"/>
      <c r="AG32" s="781"/>
      <c r="AH32" s="169"/>
      <c r="AI32" s="169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3" ht="30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7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08" t="s">
        <v>23</v>
      </c>
      <c r="AG33" s="216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3" ht="15.75" thickBot="1">
      <c r="A34" s="573">
        <v>1</v>
      </c>
      <c r="B34" s="608" t="s">
        <v>99</v>
      </c>
      <c r="C34" s="615">
        <v>1359</v>
      </c>
      <c r="D34" s="610">
        <v>213125</v>
      </c>
      <c r="E34" s="611">
        <f>+D34*$E$31</f>
        <v>149187.5</v>
      </c>
      <c r="F34" s="612">
        <f>+D34*$F$31</f>
        <v>63937.5</v>
      </c>
      <c r="G34" s="613"/>
      <c r="H34" s="334">
        <f>SUM(I34:T34)</f>
        <v>213125.5</v>
      </c>
      <c r="I34" s="331"/>
      <c r="J34" s="249"/>
      <c r="K34" s="250">
        <v>149188</v>
      </c>
      <c r="L34" s="212"/>
      <c r="M34" s="212"/>
      <c r="N34" s="212"/>
      <c r="O34" s="212"/>
      <c r="P34" s="212"/>
      <c r="Q34" s="212"/>
      <c r="R34" s="212">
        <v>63937.5</v>
      </c>
      <c r="S34" s="212"/>
      <c r="T34" s="248"/>
      <c r="U34" s="234"/>
      <c r="V34" s="220"/>
      <c r="W34" s="209">
        <v>149188</v>
      </c>
      <c r="X34" s="209"/>
      <c r="Y34" s="209"/>
      <c r="Z34" s="209"/>
      <c r="AA34" s="209"/>
      <c r="AB34" s="209"/>
      <c r="AC34" s="209"/>
      <c r="AD34" s="209">
        <v>63937.5</v>
      </c>
      <c r="AE34" s="209"/>
      <c r="AF34" s="209"/>
      <c r="AG34" s="218">
        <f>SUM(V34:AF34)</f>
        <v>213125.5</v>
      </c>
      <c r="AH34" s="123">
        <f t="shared" ref="AH34:AH67" si="5">+H34-AG34</f>
        <v>0</v>
      </c>
      <c r="AK34" s="454"/>
      <c r="AL34" s="220"/>
      <c r="AM34" s="455"/>
      <c r="AN34" s="455"/>
      <c r="AO34" s="455"/>
      <c r="AP34" s="455"/>
      <c r="AQ34" s="455"/>
      <c r="AR34" s="455"/>
      <c r="AS34" s="455"/>
      <c r="AT34" s="455"/>
      <c r="AU34" s="455"/>
      <c r="AV34" s="456">
        <v>34181.46239844901</v>
      </c>
      <c r="AW34" s="226">
        <f>SUM(AK34:AV34)</f>
        <v>34181.46239844901</v>
      </c>
      <c r="AX34" s="123">
        <f>+AG34-AW34</f>
        <v>178944.03760155098</v>
      </c>
      <c r="AY34" s="170">
        <f>+AX34+AX35</f>
        <v>9752404.5</v>
      </c>
      <c r="AZ34" s="149">
        <f>+(AX34*AZ38)/AY34</f>
        <v>1.8348709551736803E-2</v>
      </c>
      <c r="BA34" s="6">
        <f>+$AT$31*AZ34</f>
        <v>84619.202557483412</v>
      </c>
    </row>
    <row r="35" spans="1:53" ht="15">
      <c r="A35" s="573">
        <v>2</v>
      </c>
      <c r="B35" s="608" t="s">
        <v>100</v>
      </c>
      <c r="C35" s="615">
        <v>1359</v>
      </c>
      <c r="D35" s="610">
        <v>11402160</v>
      </c>
      <c r="E35" s="583">
        <f>+D35*$E$31</f>
        <v>7981511.9999999991</v>
      </c>
      <c r="F35" s="584">
        <f>+D35*$F$31</f>
        <v>3420648</v>
      </c>
      <c r="G35" s="614"/>
      <c r="H35" s="324">
        <f>SUM(I35:T35)</f>
        <v>11402160</v>
      </c>
      <c r="I35" s="250"/>
      <c r="J35" s="251"/>
      <c r="K35" s="250">
        <v>7970712</v>
      </c>
      <c r="L35" s="212">
        <v>10799.999999999069</v>
      </c>
      <c r="M35" s="212"/>
      <c r="N35" s="212"/>
      <c r="O35" s="212"/>
      <c r="P35" s="212"/>
      <c r="Q35" s="212"/>
      <c r="R35" s="212">
        <v>3420648</v>
      </c>
      <c r="S35" s="212"/>
      <c r="T35" s="248"/>
      <c r="U35" s="237"/>
      <c r="V35" s="217"/>
      <c r="W35" s="212">
        <v>7970712</v>
      </c>
      <c r="X35" s="212">
        <v>10800</v>
      </c>
      <c r="Y35" s="212"/>
      <c r="Z35" s="212"/>
      <c r="AA35" s="212"/>
      <c r="AB35" s="212"/>
      <c r="AC35" s="212"/>
      <c r="AD35" s="212">
        <v>3420648</v>
      </c>
      <c r="AE35" s="212"/>
      <c r="AF35" s="212"/>
      <c r="AG35" s="218">
        <f>SUM(U35:AF35)</f>
        <v>11402160</v>
      </c>
      <c r="AH35" s="123">
        <f t="shared" si="5"/>
        <v>0</v>
      </c>
      <c r="AK35" s="457"/>
      <c r="AL35" s="217"/>
      <c r="AM35" s="458"/>
      <c r="AN35" s="458"/>
      <c r="AO35" s="458"/>
      <c r="AP35" s="458"/>
      <c r="AQ35" s="458"/>
      <c r="AR35" s="458"/>
      <c r="AS35" s="458"/>
      <c r="AT35" s="458"/>
      <c r="AU35" s="458"/>
      <c r="AV35" s="459">
        <v>1828699.5376015508</v>
      </c>
      <c r="AW35" s="226">
        <f>SUM(AK35:AV35)</f>
        <v>1828699.5376015508</v>
      </c>
      <c r="AX35" s="431">
        <f t="shared" ref="AX35:AX77" si="6">+AG35-AW35</f>
        <v>9573460.462398449</v>
      </c>
      <c r="AY35" s="149"/>
      <c r="AZ35" s="149">
        <f>+(AX35*AZ38)/AY34</f>
        <v>0.98165129044826316</v>
      </c>
      <c r="BA35" s="6">
        <f>+$AT$31*AZ35</f>
        <v>4527105.7974425163</v>
      </c>
    </row>
    <row r="36" spans="1:53" ht="15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7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460"/>
      <c r="AL36" s="217"/>
      <c r="AM36" s="364"/>
      <c r="AN36" s="364"/>
      <c r="AO36" s="364"/>
      <c r="AP36" s="364"/>
      <c r="AQ36" s="364"/>
      <c r="AR36" s="364"/>
      <c r="AS36" s="364"/>
      <c r="AT36" s="364"/>
      <c r="AU36" s="364"/>
      <c r="AV36" s="461"/>
      <c r="AW36" s="228">
        <f>SUM(AK36:AV36)</f>
        <v>0</v>
      </c>
      <c r="AX36" s="431">
        <f t="shared" si="6"/>
        <v>0</v>
      </c>
    </row>
    <row r="37" spans="1:53" ht="15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460"/>
      <c r="AL37" s="217"/>
      <c r="AM37" s="364"/>
      <c r="AN37" s="364"/>
      <c r="AO37" s="364"/>
      <c r="AP37" s="364"/>
      <c r="AQ37" s="364"/>
      <c r="AR37" s="364"/>
      <c r="AS37" s="364"/>
      <c r="AT37" s="364"/>
      <c r="AU37" s="364"/>
      <c r="AV37" s="461"/>
      <c r="AW37" s="228">
        <f>SUM(AK37:AV37)</f>
        <v>0</v>
      </c>
      <c r="AX37" s="431">
        <f t="shared" si="6"/>
        <v>0</v>
      </c>
    </row>
    <row r="38" spans="1:53" ht="15">
      <c r="A38" s="573">
        <v>5</v>
      </c>
      <c r="B38" s="575" t="s">
        <v>101</v>
      </c>
      <c r="C38" s="576">
        <v>1972</v>
      </c>
      <c r="D38" s="577">
        <v>138436613</v>
      </c>
      <c r="E38" s="578">
        <f>+D38*E31</f>
        <v>96905629.099999994</v>
      </c>
      <c r="F38" s="579">
        <f>+D38*F31</f>
        <v>41530983.899999999</v>
      </c>
      <c r="G38" s="580"/>
      <c r="H38" s="324">
        <f t="shared" si="7"/>
        <v>138436613</v>
      </c>
      <c r="I38" s="252"/>
      <c r="J38" s="251"/>
      <c r="K38" s="252">
        <v>96905629.099999994</v>
      </c>
      <c r="L38" s="206"/>
      <c r="M38" s="206"/>
      <c r="N38" s="206"/>
      <c r="O38" s="212"/>
      <c r="P38" s="212"/>
      <c r="Q38" s="212"/>
      <c r="R38" s="212">
        <v>41530983.899999999</v>
      </c>
      <c r="S38" s="212"/>
      <c r="T38" s="248"/>
      <c r="U38" s="235"/>
      <c r="V38" s="217"/>
      <c r="W38" s="206">
        <v>96905629.099999994</v>
      </c>
      <c r="X38" s="206"/>
      <c r="Y38" s="206"/>
      <c r="Z38" s="206"/>
      <c r="AA38" s="206"/>
      <c r="AB38" s="206"/>
      <c r="AC38" s="206"/>
      <c r="AD38" s="206">
        <v>41530983.899999999</v>
      </c>
      <c r="AE38" s="206"/>
      <c r="AF38" s="206"/>
      <c r="AG38" s="219">
        <f>SUM(U38:AF38)</f>
        <v>138436613</v>
      </c>
      <c r="AH38" s="124">
        <f t="shared" si="5"/>
        <v>0</v>
      </c>
      <c r="AK38" s="460"/>
      <c r="AL38" s="217"/>
      <c r="AM38" s="364"/>
      <c r="AN38" s="364"/>
      <c r="AO38" s="364">
        <v>7684829.32034723</v>
      </c>
      <c r="AP38" s="364">
        <v>4378977.0637644324</v>
      </c>
      <c r="AQ38" s="364">
        <v>14795659.665571474</v>
      </c>
      <c r="AR38" s="364">
        <v>10383717.772413345</v>
      </c>
      <c r="AS38" s="364">
        <v>16958698.413459741</v>
      </c>
      <c r="AT38" s="364">
        <v>8789633.5171735454</v>
      </c>
      <c r="AU38" s="364">
        <v>6508762.1305470588</v>
      </c>
      <c r="AV38" s="461">
        <v>11447471.277146747</v>
      </c>
      <c r="AW38" s="228">
        <f>SUM(AK38:AV38)</f>
        <v>80947749.160423562</v>
      </c>
      <c r="AX38" s="431">
        <f t="shared" si="6"/>
        <v>57488863.839576438</v>
      </c>
      <c r="AY38" s="170">
        <f>+AX38+AX39</f>
        <v>57916428.000000007</v>
      </c>
      <c r="AZ38" s="149">
        <v>1</v>
      </c>
    </row>
    <row r="39" spans="1:53" ht="15">
      <c r="A39" s="573">
        <v>6</v>
      </c>
      <c r="B39" s="575" t="s">
        <v>102</v>
      </c>
      <c r="C39" s="576">
        <v>1972</v>
      </c>
      <c r="D39" s="577">
        <v>1029600</v>
      </c>
      <c r="E39" s="578">
        <f>+D39*E31</f>
        <v>720720</v>
      </c>
      <c r="F39" s="579">
        <f>+D39*F31</f>
        <v>308880</v>
      </c>
      <c r="G39" s="580"/>
      <c r="H39" s="324">
        <f t="shared" si="7"/>
        <v>1029600</v>
      </c>
      <c r="I39" s="252"/>
      <c r="J39" s="251"/>
      <c r="K39" s="252">
        <v>720720</v>
      </c>
      <c r="L39" s="206"/>
      <c r="M39" s="206"/>
      <c r="N39" s="206"/>
      <c r="O39" s="212"/>
      <c r="P39" s="212"/>
      <c r="Q39" s="212"/>
      <c r="R39" s="212">
        <v>308880</v>
      </c>
      <c r="S39" s="212"/>
      <c r="T39" s="248"/>
      <c r="U39" s="235"/>
      <c r="V39" s="217"/>
      <c r="W39" s="206">
        <v>720720</v>
      </c>
      <c r="X39" s="206"/>
      <c r="Y39" s="206"/>
      <c r="Z39" s="206"/>
      <c r="AA39" s="206"/>
      <c r="AB39" s="206"/>
      <c r="AC39" s="206"/>
      <c r="AD39" s="206">
        <v>308880</v>
      </c>
      <c r="AE39" s="206"/>
      <c r="AF39" s="206"/>
      <c r="AG39" s="219">
        <f t="shared" ref="AG39:AG67" si="8">SUM(U39:AF39)</f>
        <v>1029600</v>
      </c>
      <c r="AH39" s="124">
        <f t="shared" si="5"/>
        <v>0</v>
      </c>
      <c r="AK39" s="460"/>
      <c r="AL39" s="217"/>
      <c r="AM39" s="364"/>
      <c r="AN39" s="364"/>
      <c r="AO39" s="364">
        <v>57154.679652770101</v>
      </c>
      <c r="AP39" s="364">
        <v>32567.936235566965</v>
      </c>
      <c r="AQ39" s="364">
        <v>110040.33442852572</v>
      </c>
      <c r="AR39" s="364">
        <v>77227.227586655703</v>
      </c>
      <c r="AS39" s="364">
        <v>126127.5865402612</v>
      </c>
      <c r="AT39" s="364">
        <v>65371.482826453459</v>
      </c>
      <c r="AU39" s="364">
        <v>48407.869452940533</v>
      </c>
      <c r="AV39" s="461">
        <v>85138.722853254789</v>
      </c>
      <c r="AW39" s="228">
        <f t="shared" ref="AW39:AW45" si="9">SUM(AK39:AV39)</f>
        <v>602035.83957642852</v>
      </c>
      <c r="AX39" s="431">
        <f t="shared" si="6"/>
        <v>427564.16042357148</v>
      </c>
      <c r="AY39" s="207">
        <v>8855005</v>
      </c>
      <c r="AZ39" s="502">
        <f>+(AX38*AZ38)/AY38</f>
        <v>0.99261756680809854</v>
      </c>
      <c r="BA39" s="207">
        <f>+$AV$31*AZ39</f>
        <v>11447471.277146745</v>
      </c>
    </row>
    <row r="40" spans="1:53" ht="15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460"/>
      <c r="AL40" s="217"/>
      <c r="AM40" s="364"/>
      <c r="AN40" s="364"/>
      <c r="AO40" s="364"/>
      <c r="AP40" s="364"/>
      <c r="AQ40" s="364"/>
      <c r="AR40" s="364"/>
      <c r="AS40" s="364"/>
      <c r="AT40" s="364"/>
      <c r="AU40" s="364"/>
      <c r="AV40" s="461"/>
      <c r="AW40" s="228">
        <f t="shared" si="9"/>
        <v>0</v>
      </c>
      <c r="AX40" s="431">
        <f t="shared" si="6"/>
        <v>0</v>
      </c>
      <c r="AZ40" s="502">
        <f>+(AX39*AZ38)/AY38</f>
        <v>7.3824331919014659E-3</v>
      </c>
      <c r="BA40" s="207">
        <f>+$AV$31*AZ40</f>
        <v>85138.72285325476</v>
      </c>
    </row>
    <row r="41" spans="1:53" ht="15">
      <c r="A41" s="573">
        <v>8</v>
      </c>
      <c r="B41" s="575" t="s">
        <v>76</v>
      </c>
      <c r="C41" s="576">
        <v>1616</v>
      </c>
      <c r="D41" s="577">
        <v>30491110</v>
      </c>
      <c r="E41" s="578">
        <f>+D41*E31</f>
        <v>21343777</v>
      </c>
      <c r="F41" s="579">
        <f>+D41*F31</f>
        <v>9147333</v>
      </c>
      <c r="G41" s="580"/>
      <c r="H41" s="324">
        <f t="shared" si="7"/>
        <v>30491110</v>
      </c>
      <c r="I41" s="252"/>
      <c r="J41" s="251"/>
      <c r="K41" s="252">
        <v>21343777</v>
      </c>
      <c r="L41" s="206"/>
      <c r="M41" s="206"/>
      <c r="N41" s="206"/>
      <c r="O41" s="212"/>
      <c r="P41" s="212"/>
      <c r="Q41" s="212"/>
      <c r="R41" s="212">
        <v>9147333</v>
      </c>
      <c r="S41" s="212"/>
      <c r="T41" s="248"/>
      <c r="U41" s="2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460"/>
      <c r="AL41" s="217"/>
      <c r="AM41" s="364"/>
      <c r="AN41" s="364"/>
      <c r="AO41" s="364">
        <v>8851046</v>
      </c>
      <c r="AP41" s="364">
        <v>2212754</v>
      </c>
      <c r="AQ41" s="364">
        <v>2212754</v>
      </c>
      <c r="AR41" s="364">
        <v>2212754</v>
      </c>
      <c r="AS41" s="364">
        <v>2726270</v>
      </c>
      <c r="AT41" s="364">
        <v>2847282</v>
      </c>
      <c r="AU41" s="364">
        <v>2759264</v>
      </c>
      <c r="AV41" s="461">
        <v>2866064</v>
      </c>
      <c r="AW41" s="228">
        <f t="shared" si="9"/>
        <v>26688188</v>
      </c>
      <c r="AX41" s="431">
        <f t="shared" si="6"/>
        <v>3802922</v>
      </c>
    </row>
    <row r="42" spans="1:53" ht="15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460"/>
      <c r="AL42" s="217"/>
      <c r="AM42" s="364"/>
      <c r="AN42" s="364"/>
      <c r="AO42" s="364"/>
      <c r="AP42" s="364"/>
      <c r="AQ42" s="364"/>
      <c r="AR42" s="364"/>
      <c r="AS42" s="364"/>
      <c r="AT42" s="364"/>
      <c r="AU42" s="364"/>
      <c r="AV42" s="461"/>
      <c r="AW42" s="228">
        <f t="shared" si="9"/>
        <v>0</v>
      </c>
      <c r="AX42" s="431">
        <f t="shared" si="6"/>
        <v>0</v>
      </c>
    </row>
    <row r="43" spans="1:53" ht="15">
      <c r="A43" s="573">
        <v>10</v>
      </c>
      <c r="B43" s="575" t="s">
        <v>104</v>
      </c>
      <c r="C43" s="576">
        <v>1971</v>
      </c>
      <c r="D43" s="577">
        <v>47553363</v>
      </c>
      <c r="E43" s="578">
        <f>+D43*E31</f>
        <v>33287354.099999998</v>
      </c>
      <c r="F43" s="579">
        <f>+D43*F31</f>
        <v>14266008.9</v>
      </c>
      <c r="G43" s="580"/>
      <c r="H43" s="324">
        <f t="shared" si="7"/>
        <v>47553363</v>
      </c>
      <c r="I43" s="252"/>
      <c r="J43" s="251"/>
      <c r="K43" s="252"/>
      <c r="L43" s="206"/>
      <c r="M43" s="206">
        <v>33287354</v>
      </c>
      <c r="N43" s="206"/>
      <c r="O43" s="212"/>
      <c r="P43" s="212"/>
      <c r="Q43" s="212"/>
      <c r="R43" s="212">
        <v>14266009</v>
      </c>
      <c r="S43" s="212"/>
      <c r="T43" s="248"/>
      <c r="U43" s="235"/>
      <c r="V43" s="217"/>
      <c r="W43" s="206"/>
      <c r="X43" s="206"/>
      <c r="Y43" s="206">
        <v>33287354</v>
      </c>
      <c r="Z43" s="206"/>
      <c r="AA43" s="206"/>
      <c r="AB43" s="206"/>
      <c r="AC43" s="206"/>
      <c r="AD43" s="206">
        <v>14266009</v>
      </c>
      <c r="AE43" s="206"/>
      <c r="AF43" s="206"/>
      <c r="AG43" s="219">
        <f t="shared" si="8"/>
        <v>47553363</v>
      </c>
      <c r="AH43" s="124">
        <f t="shared" si="5"/>
        <v>0</v>
      </c>
      <c r="AK43" s="460"/>
      <c r="AL43" s="217"/>
      <c r="AM43" s="364"/>
      <c r="AN43" s="364"/>
      <c r="AO43" s="364">
        <v>13137810</v>
      </c>
      <c r="AP43" s="364">
        <v>3405135</v>
      </c>
      <c r="AQ43" s="364">
        <v>3555135</v>
      </c>
      <c r="AR43" s="364">
        <v>3405135</v>
      </c>
      <c r="AS43" s="364">
        <v>3405135</v>
      </c>
      <c r="AT43" s="364">
        <v>3762635</v>
      </c>
      <c r="AU43" s="364">
        <v>4420135</v>
      </c>
      <c r="AV43" s="461">
        <v>4761395</v>
      </c>
      <c r="AW43" s="228">
        <f t="shared" si="9"/>
        <v>39852515</v>
      </c>
      <c r="AX43" s="431">
        <f t="shared" si="6"/>
        <v>7700848</v>
      </c>
    </row>
    <row r="44" spans="1:53" ht="15">
      <c r="A44" s="18">
        <v>11</v>
      </c>
      <c r="B44" s="7" t="s">
        <v>78</v>
      </c>
      <c r="C44" s="147">
        <v>1300</v>
      </c>
      <c r="D44" s="13">
        <v>15471013</v>
      </c>
      <c r="E44" s="142">
        <f>+D44*E31</f>
        <v>10829709.1</v>
      </c>
      <c r="F44" s="143">
        <f>+D44*F31</f>
        <v>4641303.8999999994</v>
      </c>
      <c r="G44" s="160"/>
      <c r="H44" s="324">
        <f t="shared" si="7"/>
        <v>15471013</v>
      </c>
      <c r="I44" s="252"/>
      <c r="J44" s="221"/>
      <c r="K44" s="252"/>
      <c r="L44" s="206"/>
      <c r="M44" s="206">
        <v>10829709.1</v>
      </c>
      <c r="N44" s="206"/>
      <c r="O44" s="212"/>
      <c r="P44" s="212"/>
      <c r="Q44" s="212"/>
      <c r="R44" s="212"/>
      <c r="S44" s="212"/>
      <c r="T44" s="248">
        <v>4641303.8999999994</v>
      </c>
      <c r="U44" s="235"/>
      <c r="V44" s="217"/>
      <c r="W44" s="206"/>
      <c r="X44" s="206"/>
      <c r="Y44" s="206">
        <v>10829709.1</v>
      </c>
      <c r="Z44" s="206"/>
      <c r="AA44" s="206"/>
      <c r="AB44" s="206"/>
      <c r="AC44" s="206"/>
      <c r="AD44" s="206"/>
      <c r="AE44" s="206"/>
      <c r="AF44" s="206">
        <v>4641303.8999999994</v>
      </c>
      <c r="AG44" s="219">
        <f t="shared" si="8"/>
        <v>15471013</v>
      </c>
      <c r="AH44" s="124">
        <f t="shared" si="5"/>
        <v>0</v>
      </c>
      <c r="AK44" s="460"/>
      <c r="AL44" s="217"/>
      <c r="AM44" s="364"/>
      <c r="AN44" s="364"/>
      <c r="AO44" s="364"/>
      <c r="AP44" s="364"/>
      <c r="AQ44" s="364"/>
      <c r="AR44" s="364">
        <v>1936000</v>
      </c>
      <c r="AS44" s="364"/>
      <c r="AT44" s="364">
        <v>360000</v>
      </c>
      <c r="AU44" s="364"/>
      <c r="AV44" s="461">
        <v>386000</v>
      </c>
      <c r="AW44" s="228">
        <f t="shared" si="9"/>
        <v>2682000</v>
      </c>
      <c r="AX44" s="431">
        <f t="shared" si="6"/>
        <v>12789013</v>
      </c>
    </row>
    <row r="45" spans="1:53" ht="15">
      <c r="A45" s="573">
        <v>12</v>
      </c>
      <c r="B45" s="619" t="s">
        <v>79</v>
      </c>
      <c r="C45" s="576">
        <v>2887</v>
      </c>
      <c r="D45" s="577">
        <v>57537786</v>
      </c>
      <c r="E45" s="578">
        <f>+D45*E31</f>
        <v>40276450.199999996</v>
      </c>
      <c r="F45" s="579">
        <f>+D45*F31</f>
        <v>17261335.800000001</v>
      </c>
      <c r="G45" s="580"/>
      <c r="H45" s="324">
        <f t="shared" si="7"/>
        <v>57537786</v>
      </c>
      <c r="I45" s="252"/>
      <c r="J45" s="221"/>
      <c r="K45" s="252"/>
      <c r="L45" s="206"/>
      <c r="M45" s="206">
        <v>40276450</v>
      </c>
      <c r="N45" s="206"/>
      <c r="O45" s="212"/>
      <c r="P45" s="212"/>
      <c r="Q45" s="212"/>
      <c r="R45" s="212">
        <v>17261336</v>
      </c>
      <c r="S45" s="212"/>
      <c r="T45" s="248"/>
      <c r="U45" s="235"/>
      <c r="V45" s="217"/>
      <c r="W45" s="206"/>
      <c r="X45" s="206"/>
      <c r="Y45" s="206">
        <v>40276450</v>
      </c>
      <c r="Z45" s="206"/>
      <c r="AA45" s="206"/>
      <c r="AB45" s="206"/>
      <c r="AC45" s="206"/>
      <c r="AD45" s="206">
        <v>17261336</v>
      </c>
      <c r="AE45" s="206"/>
      <c r="AF45" s="206"/>
      <c r="AG45" s="219">
        <f t="shared" si="8"/>
        <v>57537786</v>
      </c>
      <c r="AH45" s="124">
        <f t="shared" si="5"/>
        <v>0</v>
      </c>
      <c r="AK45" s="460"/>
      <c r="AL45" s="217"/>
      <c r="AM45" s="364"/>
      <c r="AN45" s="364"/>
      <c r="AO45" s="364"/>
      <c r="AP45" s="364"/>
      <c r="AQ45" s="364"/>
      <c r="AR45" s="364"/>
      <c r="AS45" s="364"/>
      <c r="AT45" s="364"/>
      <c r="AU45" s="364">
        <v>4149433</v>
      </c>
      <c r="AV45" s="461">
        <v>432500</v>
      </c>
      <c r="AW45" s="228">
        <f t="shared" si="9"/>
        <v>4581933</v>
      </c>
      <c r="AX45" s="431">
        <f t="shared" si="6"/>
        <v>52955853</v>
      </c>
    </row>
    <row r="46" spans="1:53" ht="15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>
        <v>0</v>
      </c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462"/>
      <c r="AL46" s="463"/>
      <c r="AM46" s="463"/>
      <c r="AN46" s="463"/>
      <c r="AO46" s="463"/>
      <c r="AP46" s="463"/>
      <c r="AQ46" s="463"/>
      <c r="AR46" s="463"/>
      <c r="AS46" s="463"/>
      <c r="AT46" s="463"/>
      <c r="AU46" s="463"/>
      <c r="AV46" s="464"/>
      <c r="AW46" s="228">
        <f>SUM(AK46:AV46)</f>
        <v>0</v>
      </c>
      <c r="AX46" s="431">
        <f t="shared" si="6"/>
        <v>0</v>
      </c>
    </row>
    <row r="47" spans="1:53" ht="15">
      <c r="A47" s="573">
        <v>14</v>
      </c>
      <c r="B47" s="575" t="s">
        <v>81</v>
      </c>
      <c r="C47" s="576">
        <v>1970</v>
      </c>
      <c r="D47" s="577">
        <v>50143300</v>
      </c>
      <c r="E47" s="578">
        <f>+D47*E31</f>
        <v>35100310</v>
      </c>
      <c r="F47" s="579">
        <f>+D47*F31</f>
        <v>15042990</v>
      </c>
      <c r="G47" s="580"/>
      <c r="H47" s="324">
        <f t="shared" si="7"/>
        <v>50143000</v>
      </c>
      <c r="I47" s="252"/>
      <c r="J47" s="221"/>
      <c r="K47" s="252">
        <v>35100100</v>
      </c>
      <c r="L47" s="206"/>
      <c r="M47" s="206"/>
      <c r="N47" s="206"/>
      <c r="O47" s="212"/>
      <c r="P47" s="212"/>
      <c r="Q47" s="212"/>
      <c r="R47" s="212">
        <v>15042900</v>
      </c>
      <c r="S47" s="212"/>
      <c r="T47" s="248"/>
      <c r="U47" s="235"/>
      <c r="V47" s="206"/>
      <c r="W47" s="206">
        <v>35100100</v>
      </c>
      <c r="X47" s="206"/>
      <c r="Y47" s="206"/>
      <c r="Z47" s="206"/>
      <c r="AA47" s="206"/>
      <c r="AB47" s="206"/>
      <c r="AC47" s="206"/>
      <c r="AD47" s="206">
        <v>15042900</v>
      </c>
      <c r="AE47" s="206"/>
      <c r="AF47" s="206"/>
      <c r="AG47" s="219">
        <f t="shared" si="8"/>
        <v>50143000</v>
      </c>
      <c r="AH47" s="124">
        <f t="shared" si="5"/>
        <v>0</v>
      </c>
      <c r="AK47" s="460"/>
      <c r="AL47" s="364"/>
      <c r="AM47" s="364"/>
      <c r="AN47" s="364"/>
      <c r="AO47" s="364"/>
      <c r="AP47" s="364"/>
      <c r="AQ47" s="364"/>
      <c r="AR47" s="364"/>
      <c r="AS47" s="364">
        <v>1278190</v>
      </c>
      <c r="AT47" s="364">
        <v>1279080</v>
      </c>
      <c r="AU47" s="364"/>
      <c r="AV47" s="461">
        <v>7007080</v>
      </c>
      <c r="AW47" s="228">
        <f t="shared" ref="AW47:AW67" si="10">SUM(AK47:AV47)</f>
        <v>9564350</v>
      </c>
      <c r="AX47" s="431">
        <f t="shared" si="6"/>
        <v>40578650</v>
      </c>
    </row>
    <row r="48" spans="1:53" ht="15">
      <c r="A48" s="573">
        <v>15</v>
      </c>
      <c r="B48" s="575" t="s">
        <v>82</v>
      </c>
      <c r="C48" s="576">
        <v>1442</v>
      </c>
      <c r="D48" s="577">
        <v>46278180</v>
      </c>
      <c r="E48" s="578">
        <f>+D48*G31</f>
        <v>3856515</v>
      </c>
      <c r="F48" s="579">
        <f>+D48*G31</f>
        <v>3856515</v>
      </c>
      <c r="G48" s="580">
        <f>+D48*G31</f>
        <v>3856515</v>
      </c>
      <c r="H48" s="324">
        <f t="shared" si="7"/>
        <v>46278180</v>
      </c>
      <c r="I48" s="252"/>
      <c r="J48" s="221"/>
      <c r="K48" s="252">
        <v>11569545</v>
      </c>
      <c r="L48" s="364">
        <v>3856515</v>
      </c>
      <c r="M48" s="206">
        <v>3856515</v>
      </c>
      <c r="N48" s="206">
        <v>3856515</v>
      </c>
      <c r="O48" s="212">
        <v>3856515</v>
      </c>
      <c r="P48" s="212">
        <v>3856515</v>
      </c>
      <c r="Q48" s="212">
        <v>3856515</v>
      </c>
      <c r="R48" s="212">
        <v>3856515</v>
      </c>
      <c r="S48" s="212">
        <v>3856515</v>
      </c>
      <c r="T48" s="248">
        <v>3856515</v>
      </c>
      <c r="U48" s="235"/>
      <c r="V48" s="206"/>
      <c r="W48" s="206">
        <v>11569545</v>
      </c>
      <c r="X48" s="206">
        <v>3856515</v>
      </c>
      <c r="Y48" s="206">
        <v>3856515</v>
      </c>
      <c r="Z48" s="206"/>
      <c r="AA48" s="206">
        <v>3856515</v>
      </c>
      <c r="AB48" s="206">
        <v>3856515</v>
      </c>
      <c r="AC48" s="206">
        <f>3856515+3856515</f>
        <v>7713030</v>
      </c>
      <c r="AD48" s="206">
        <v>3856515</v>
      </c>
      <c r="AE48" s="206">
        <v>3856515</v>
      </c>
      <c r="AF48" s="206">
        <v>3856515</v>
      </c>
      <c r="AG48" s="219">
        <f t="shared" si="8"/>
        <v>46278180</v>
      </c>
      <c r="AH48" s="124">
        <f t="shared" si="5"/>
        <v>0</v>
      </c>
      <c r="AK48" s="460"/>
      <c r="AL48" s="364"/>
      <c r="AM48" s="364"/>
      <c r="AN48" s="364"/>
      <c r="AO48" s="364">
        <v>11661380</v>
      </c>
      <c r="AP48" s="364">
        <v>7053700</v>
      </c>
      <c r="AQ48" s="364"/>
      <c r="AR48" s="364">
        <v>8199650</v>
      </c>
      <c r="AS48" s="364">
        <v>3356360</v>
      </c>
      <c r="AT48" s="364">
        <v>7800760</v>
      </c>
      <c r="AU48" s="364">
        <v>3791220</v>
      </c>
      <c r="AV48" s="461"/>
      <c r="AW48" s="228">
        <f t="shared" si="10"/>
        <v>41863070</v>
      </c>
      <c r="AX48" s="431">
        <f t="shared" si="6"/>
        <v>4415110</v>
      </c>
    </row>
    <row r="49" spans="1:53" ht="15">
      <c r="A49" s="573">
        <v>16</v>
      </c>
      <c r="B49" s="575" t="s">
        <v>83</v>
      </c>
      <c r="C49" s="576">
        <v>1912</v>
      </c>
      <c r="D49" s="577">
        <v>25676048</v>
      </c>
      <c r="E49" s="578">
        <f>+D49*E31</f>
        <v>17973233.599999998</v>
      </c>
      <c r="F49" s="579">
        <f>+D49*F31</f>
        <v>7702814.3999999994</v>
      </c>
      <c r="G49" s="580"/>
      <c r="H49" s="324">
        <f t="shared" si="7"/>
        <v>25676047.599999998</v>
      </c>
      <c r="I49" s="252"/>
      <c r="J49" s="221"/>
      <c r="K49" s="252">
        <v>17973233.599999998</v>
      </c>
      <c r="L49" s="206"/>
      <c r="M49" s="206"/>
      <c r="N49" s="206"/>
      <c r="O49" s="212"/>
      <c r="P49" s="212"/>
      <c r="Q49" s="212"/>
      <c r="R49" s="212">
        <v>7702814</v>
      </c>
      <c r="S49" s="212"/>
      <c r="T49" s="248"/>
      <c r="U49" s="235"/>
      <c r="V49" s="206"/>
      <c r="W49" s="206">
        <v>17973234</v>
      </c>
      <c r="X49" s="206"/>
      <c r="Y49" s="206"/>
      <c r="Z49" s="206"/>
      <c r="AA49" s="206"/>
      <c r="AB49" s="206"/>
      <c r="AC49" s="206"/>
      <c r="AD49" s="206"/>
      <c r="AE49" s="206">
        <v>7702814</v>
      </c>
      <c r="AF49" s="206"/>
      <c r="AG49" s="219">
        <f t="shared" si="8"/>
        <v>25676048</v>
      </c>
      <c r="AH49" s="124">
        <f t="shared" si="5"/>
        <v>-0.40000000223517418</v>
      </c>
      <c r="AK49" s="460"/>
      <c r="AL49" s="364"/>
      <c r="AM49" s="364"/>
      <c r="AN49" s="364"/>
      <c r="AO49" s="364">
        <v>5562248</v>
      </c>
      <c r="AP49" s="364">
        <v>4060224</v>
      </c>
      <c r="AQ49" s="364">
        <v>2434155</v>
      </c>
      <c r="AR49" s="364">
        <v>2126784</v>
      </c>
      <c r="AS49" s="364">
        <v>2426784</v>
      </c>
      <c r="AT49" s="364">
        <v>2126784</v>
      </c>
      <c r="AU49" s="364">
        <v>2126784</v>
      </c>
      <c r="AV49" s="461">
        <v>2176784</v>
      </c>
      <c r="AW49" s="228">
        <f t="shared" si="10"/>
        <v>23040547</v>
      </c>
      <c r="AX49" s="431">
        <f t="shared" si="6"/>
        <v>2635501</v>
      </c>
    </row>
    <row r="50" spans="1:53" ht="15">
      <c r="A50" s="573">
        <v>17</v>
      </c>
      <c r="B50" s="575" t="s">
        <v>95</v>
      </c>
      <c r="C50" s="576">
        <v>1240</v>
      </c>
      <c r="D50" s="577">
        <v>5497830</v>
      </c>
      <c r="E50" s="578">
        <f>+D50*$E$31</f>
        <v>3848480.9999999995</v>
      </c>
      <c r="F50" s="579">
        <f>+D50*$F$31</f>
        <v>1649349</v>
      </c>
      <c r="G50" s="580"/>
      <c r="H50" s="324">
        <f t="shared" si="7"/>
        <v>5497830</v>
      </c>
      <c r="I50" s="252"/>
      <c r="J50" s="221"/>
      <c r="K50" s="252">
        <v>3848480.9999999995</v>
      </c>
      <c r="L50" s="206"/>
      <c r="M50" s="206"/>
      <c r="N50" s="206"/>
      <c r="O50" s="212"/>
      <c r="P50" s="212"/>
      <c r="Q50" s="212"/>
      <c r="R50" s="212">
        <v>1649349</v>
      </c>
      <c r="S50" s="212"/>
      <c r="T50" s="248"/>
      <c r="U50" s="235"/>
      <c r="V50" s="206"/>
      <c r="W50" s="206">
        <v>3848480.9999999995</v>
      </c>
      <c r="X50" s="206"/>
      <c r="Y50" s="206"/>
      <c r="Z50" s="206"/>
      <c r="AA50" s="206"/>
      <c r="AB50" s="206"/>
      <c r="AC50" s="206"/>
      <c r="AD50" s="206">
        <v>1649349</v>
      </c>
      <c r="AE50" s="206"/>
      <c r="AF50" s="206"/>
      <c r="AG50" s="219">
        <f t="shared" si="8"/>
        <v>5497830</v>
      </c>
      <c r="AH50" s="124">
        <f t="shared" si="5"/>
        <v>0</v>
      </c>
      <c r="AK50" s="460"/>
      <c r="AL50" s="364"/>
      <c r="AM50" s="364"/>
      <c r="AN50" s="364"/>
      <c r="AO50" s="364"/>
      <c r="AP50" s="364"/>
      <c r="AQ50" s="364"/>
      <c r="AR50" s="364"/>
      <c r="AS50" s="364"/>
      <c r="AT50" s="364">
        <v>46301.242045115468</v>
      </c>
      <c r="AU50" s="364">
        <v>1207740.1664505214</v>
      </c>
      <c r="AV50" s="461">
        <v>189374.78797712666</v>
      </c>
      <c r="AW50" s="228">
        <f t="shared" si="10"/>
        <v>1443416.1964727635</v>
      </c>
      <c r="AX50" s="431">
        <f t="shared" si="6"/>
        <v>4054413.8035272365</v>
      </c>
      <c r="AY50" s="207">
        <v>1127545</v>
      </c>
      <c r="AZ50" s="149">
        <v>1</v>
      </c>
    </row>
    <row r="51" spans="1:53" ht="15">
      <c r="A51" s="573">
        <v>18</v>
      </c>
      <c r="B51" s="575" t="s">
        <v>96</v>
      </c>
      <c r="C51" s="576">
        <v>1240</v>
      </c>
      <c r="D51" s="577">
        <v>115454430</v>
      </c>
      <c r="E51" s="578">
        <f>+D51*$E$31</f>
        <v>80818101</v>
      </c>
      <c r="F51" s="579">
        <f>+D51*$F$31</f>
        <v>34636329</v>
      </c>
      <c r="G51" s="580"/>
      <c r="H51" s="324">
        <f t="shared" si="7"/>
        <v>115454430</v>
      </c>
      <c r="I51" s="252"/>
      <c r="J51" s="221"/>
      <c r="K51" s="252">
        <v>80818101</v>
      </c>
      <c r="L51" s="206"/>
      <c r="M51" s="206"/>
      <c r="N51" s="206"/>
      <c r="O51" s="212"/>
      <c r="P51" s="212"/>
      <c r="Q51" s="212"/>
      <c r="R51" s="212">
        <v>12090757</v>
      </c>
      <c r="S51" s="212">
        <v>22545572</v>
      </c>
      <c r="T51" s="248"/>
      <c r="U51" s="235"/>
      <c r="V51" s="206"/>
      <c r="W51" s="206">
        <v>80818101</v>
      </c>
      <c r="X51" s="206"/>
      <c r="Y51" s="206"/>
      <c r="Z51" s="206"/>
      <c r="AA51" s="206"/>
      <c r="AB51" s="206"/>
      <c r="AC51" s="206"/>
      <c r="AD51" s="206">
        <v>12090757</v>
      </c>
      <c r="AE51" s="206">
        <v>22545572</v>
      </c>
      <c r="AF51" s="206"/>
      <c r="AG51" s="219">
        <f t="shared" si="8"/>
        <v>115454430</v>
      </c>
      <c r="AH51" s="124">
        <f t="shared" si="5"/>
        <v>0</v>
      </c>
      <c r="AJ51" s="6"/>
      <c r="AK51" s="460"/>
      <c r="AL51" s="364"/>
      <c r="AM51" s="364"/>
      <c r="AN51" s="364"/>
      <c r="AO51" s="364"/>
      <c r="AP51" s="364"/>
      <c r="AQ51" s="364"/>
      <c r="AR51" s="364"/>
      <c r="AS51" s="364"/>
      <c r="AT51" s="364">
        <v>972326.08294742508</v>
      </c>
      <c r="AU51" s="364">
        <v>25362543.495460954</v>
      </c>
      <c r="AV51" s="461">
        <v>3976870.5475196596</v>
      </c>
      <c r="AW51" s="228">
        <f t="shared" si="10"/>
        <v>30311740.125928037</v>
      </c>
      <c r="AX51" s="431">
        <f t="shared" si="6"/>
        <v>85142689.874071956</v>
      </c>
      <c r="AY51" s="170">
        <f>+AX50+AX51+AX52+AX53</f>
        <v>98734587.099999994</v>
      </c>
      <c r="AZ51" s="149">
        <f>+(AX50*$AZ$50)/$AY$51</f>
        <v>4.1063764204744793E-2</v>
      </c>
      <c r="BA51" s="207">
        <f>+$AT$31*AZ51</f>
        <v>189374.78797712669</v>
      </c>
    </row>
    <row r="52" spans="1:53" ht="15">
      <c r="A52" s="573">
        <v>19</v>
      </c>
      <c r="B52" s="575" t="s">
        <v>97</v>
      </c>
      <c r="C52" s="576">
        <v>1240</v>
      </c>
      <c r="D52" s="577">
        <v>7298304</v>
      </c>
      <c r="E52" s="578">
        <f>+D52*$E$31</f>
        <v>5108812.8</v>
      </c>
      <c r="F52" s="579">
        <f>+D52*$F$31</f>
        <v>2189491.1999999997</v>
      </c>
      <c r="G52" s="580"/>
      <c r="H52" s="324">
        <f t="shared" si="7"/>
        <v>7298303.7999999998</v>
      </c>
      <c r="I52" s="252"/>
      <c r="J52" s="221"/>
      <c r="K52" s="252">
        <v>5108812.8</v>
      </c>
      <c r="L52" s="206"/>
      <c r="M52" s="206"/>
      <c r="N52" s="206"/>
      <c r="O52" s="212"/>
      <c r="P52" s="212"/>
      <c r="Q52" s="212"/>
      <c r="R52" s="212">
        <v>2189491</v>
      </c>
      <c r="S52" s="212"/>
      <c r="T52" s="248"/>
      <c r="U52" s="235"/>
      <c r="V52" s="206"/>
      <c r="W52" s="206">
        <v>5108812.8</v>
      </c>
      <c r="X52" s="206"/>
      <c r="Y52" s="206"/>
      <c r="Z52" s="206"/>
      <c r="AA52" s="206"/>
      <c r="AB52" s="206"/>
      <c r="AC52" s="206"/>
      <c r="AD52" s="206">
        <v>2189491</v>
      </c>
      <c r="AE52" s="206"/>
      <c r="AF52" s="206"/>
      <c r="AG52" s="219">
        <f t="shared" si="8"/>
        <v>7298303.7999999998</v>
      </c>
      <c r="AH52" s="124">
        <f t="shared" si="5"/>
        <v>0</v>
      </c>
      <c r="AK52" s="460"/>
      <c r="AL52" s="364"/>
      <c r="AM52" s="364"/>
      <c r="AN52" s="364"/>
      <c r="AO52" s="364"/>
      <c r="AP52" s="364"/>
      <c r="AQ52" s="364"/>
      <c r="AR52" s="364"/>
      <c r="AS52" s="364"/>
      <c r="AT52" s="364">
        <v>61464.348665352416</v>
      </c>
      <c r="AU52" s="364">
        <v>1603260.6763335615</v>
      </c>
      <c r="AV52" s="461">
        <v>251392.77394826245</v>
      </c>
      <c r="AW52" s="228">
        <f t="shared" si="10"/>
        <v>1916117.7989471764</v>
      </c>
      <c r="AX52" s="431">
        <f t="shared" si="6"/>
        <v>5382186.0010528229</v>
      </c>
      <c r="AZ52" s="149">
        <f>+(AX51*$AZ$50)/$AY$51</f>
        <v>0.86233904829964048</v>
      </c>
      <c r="BA52" s="207">
        <f>+$AT$31*AZ52</f>
        <v>3976870.5475196596</v>
      </c>
    </row>
    <row r="53" spans="1:53" ht="15">
      <c r="A53" s="573">
        <v>20</v>
      </c>
      <c r="B53" s="575" t="s">
        <v>98</v>
      </c>
      <c r="C53" s="576">
        <v>1240</v>
      </c>
      <c r="D53" s="577">
        <v>5634629</v>
      </c>
      <c r="E53" s="578">
        <f>+D53*$E$31</f>
        <v>3944240.3</v>
      </c>
      <c r="F53" s="579">
        <f>+D53*$F$31</f>
        <v>1690388.7</v>
      </c>
      <c r="G53" s="580"/>
      <c r="H53" s="324">
        <f t="shared" si="7"/>
        <v>5634629.2999999998</v>
      </c>
      <c r="I53" s="252"/>
      <c r="J53" s="221"/>
      <c r="K53" s="252">
        <v>3944240.3</v>
      </c>
      <c r="L53" s="206"/>
      <c r="M53" s="206"/>
      <c r="N53" s="206"/>
      <c r="O53" s="212"/>
      <c r="P53" s="212"/>
      <c r="Q53" s="212"/>
      <c r="R53" s="212">
        <v>1690389</v>
      </c>
      <c r="S53" s="212"/>
      <c r="T53" s="248"/>
      <c r="U53" s="235"/>
      <c r="V53" s="206"/>
      <c r="W53" s="206">
        <v>3944240.3</v>
      </c>
      <c r="X53" s="206"/>
      <c r="Y53" s="206"/>
      <c r="Z53" s="206"/>
      <c r="AA53" s="206"/>
      <c r="AB53" s="206"/>
      <c r="AC53" s="206"/>
      <c r="AD53" s="206">
        <v>1690389</v>
      </c>
      <c r="AE53" s="206"/>
      <c r="AF53" s="206"/>
      <c r="AG53" s="219">
        <f t="shared" si="8"/>
        <v>5634629.2999999998</v>
      </c>
      <c r="AH53" s="124">
        <f t="shared" si="5"/>
        <v>0</v>
      </c>
      <c r="AJ53" s="473"/>
      <c r="AK53" s="460"/>
      <c r="AL53" s="364"/>
      <c r="AM53" s="364"/>
      <c r="AN53" s="364"/>
      <c r="AO53" s="364"/>
      <c r="AP53" s="364"/>
      <c r="AQ53" s="364"/>
      <c r="AR53" s="364">
        <v>0</v>
      </c>
      <c r="AS53" s="364"/>
      <c r="AT53" s="364">
        <v>47453.326342107153</v>
      </c>
      <c r="AU53" s="364">
        <v>1237791.6617549616</v>
      </c>
      <c r="AV53" s="461">
        <v>194086.89055495133</v>
      </c>
      <c r="AW53" s="228">
        <f t="shared" si="10"/>
        <v>1479331.8786520201</v>
      </c>
      <c r="AX53" s="431">
        <f t="shared" si="6"/>
        <v>4155297.4213479795</v>
      </c>
      <c r="AZ53" s="149">
        <f>+(AX52*$AZ$50)/$AY$51</f>
        <v>5.4511657557261645E-2</v>
      </c>
      <c r="BA53" s="207">
        <f>+$AT$31*AZ53</f>
        <v>251392.77394826245</v>
      </c>
    </row>
    <row r="54" spans="1:53" ht="15">
      <c r="A54" s="573">
        <v>21</v>
      </c>
      <c r="B54" s="575" t="s">
        <v>84</v>
      </c>
      <c r="C54" s="576">
        <v>2263</v>
      </c>
      <c r="D54" s="577">
        <v>12338246</v>
      </c>
      <c r="E54" s="578">
        <f>+D54*$E$31</f>
        <v>8636772.1999999993</v>
      </c>
      <c r="F54" s="579">
        <f>+D54*$F$31</f>
        <v>3701473.8</v>
      </c>
      <c r="G54" s="580"/>
      <c r="H54" s="324">
        <f t="shared" si="7"/>
        <v>12338246</v>
      </c>
      <c r="I54" s="252"/>
      <c r="J54" s="221"/>
      <c r="K54" s="252"/>
      <c r="L54" s="206">
        <v>8636772</v>
      </c>
      <c r="M54" s="206"/>
      <c r="N54" s="206"/>
      <c r="O54" s="212"/>
      <c r="P54" s="212"/>
      <c r="Q54" s="212"/>
      <c r="R54" s="212">
        <v>3701474</v>
      </c>
      <c r="S54" s="212"/>
      <c r="T54" s="248"/>
      <c r="U54" s="235"/>
      <c r="V54" s="206"/>
      <c r="W54" s="206"/>
      <c r="X54" s="206">
        <v>8636772</v>
      </c>
      <c r="Y54" s="206"/>
      <c r="Z54" s="206"/>
      <c r="AA54" s="206"/>
      <c r="AB54" s="206"/>
      <c r="AC54" s="206"/>
      <c r="AD54" s="206">
        <v>3701474</v>
      </c>
      <c r="AE54" s="206"/>
      <c r="AF54" s="206"/>
      <c r="AG54" s="219">
        <f t="shared" si="8"/>
        <v>12338246</v>
      </c>
      <c r="AH54" s="124">
        <f t="shared" si="5"/>
        <v>0</v>
      </c>
      <c r="AJ54" s="473"/>
      <c r="AK54" s="460"/>
      <c r="AL54" s="364"/>
      <c r="AM54" s="364"/>
      <c r="AN54" s="364"/>
      <c r="AO54" s="364"/>
      <c r="AP54" s="364"/>
      <c r="AQ54" s="364"/>
      <c r="AR54" s="364">
        <v>430080</v>
      </c>
      <c r="AS54" s="364">
        <v>962660</v>
      </c>
      <c r="AT54" s="364">
        <v>860160</v>
      </c>
      <c r="AU54" s="364">
        <v>860160</v>
      </c>
      <c r="AV54" s="461">
        <v>2283180</v>
      </c>
      <c r="AW54" s="228">
        <f t="shared" si="10"/>
        <v>5396240</v>
      </c>
      <c r="AX54" s="431">
        <f t="shared" si="6"/>
        <v>6942006</v>
      </c>
      <c r="AZ54" s="149">
        <f>+(AX53*$AZ$50)/$AY$51</f>
        <v>4.2085529938353079E-2</v>
      </c>
      <c r="BA54" s="207">
        <f>+$AT$31*AZ54</f>
        <v>194086.89055495136</v>
      </c>
    </row>
    <row r="55" spans="1:53" ht="15">
      <c r="A55" s="573">
        <v>22</v>
      </c>
      <c r="B55" s="575" t="s">
        <v>85</v>
      </c>
      <c r="C55" s="576">
        <v>2615</v>
      </c>
      <c r="D55" s="577">
        <v>24695958</v>
      </c>
      <c r="E55" s="578">
        <f>+D55*E31</f>
        <v>17287170.599999998</v>
      </c>
      <c r="F55" s="579">
        <f>+D55*F31</f>
        <v>7408787.3999999994</v>
      </c>
      <c r="G55" s="580"/>
      <c r="H55" s="324">
        <f t="shared" si="7"/>
        <v>24695958</v>
      </c>
      <c r="I55" s="252"/>
      <c r="J55" s="221"/>
      <c r="K55" s="252"/>
      <c r="L55" s="206"/>
      <c r="M55" s="206">
        <v>17287170</v>
      </c>
      <c r="N55" s="206"/>
      <c r="O55" s="212"/>
      <c r="P55" s="212"/>
      <c r="Q55" s="212"/>
      <c r="R55" s="212">
        <v>7408788</v>
      </c>
      <c r="S55" s="212"/>
      <c r="T55" s="248"/>
      <c r="U55" s="235"/>
      <c r="V55" s="206"/>
      <c r="W55" s="206"/>
      <c r="X55" s="206"/>
      <c r="Y55" s="206">
        <v>17287170</v>
      </c>
      <c r="Z55" s="206"/>
      <c r="AA55" s="206"/>
      <c r="AB55" s="206"/>
      <c r="AC55" s="206"/>
      <c r="AD55" s="206">
        <v>7408788</v>
      </c>
      <c r="AE55" s="206"/>
      <c r="AF55" s="206"/>
      <c r="AG55" s="219">
        <f t="shared" si="8"/>
        <v>24695958</v>
      </c>
      <c r="AH55" s="124">
        <f t="shared" si="5"/>
        <v>0</v>
      </c>
      <c r="AK55" s="460"/>
      <c r="AL55" s="364"/>
      <c r="AM55" s="364"/>
      <c r="AN55" s="364"/>
      <c r="AO55" s="364">
        <v>3440000</v>
      </c>
      <c r="AP55" s="364">
        <v>460000</v>
      </c>
      <c r="AQ55" s="364">
        <v>2072500</v>
      </c>
      <c r="AR55" s="364">
        <v>920000</v>
      </c>
      <c r="AS55" s="364">
        <v>1488147</v>
      </c>
      <c r="AT55" s="364">
        <v>1536897</v>
      </c>
      <c r="AU55" s="364">
        <v>1749175</v>
      </c>
      <c r="AV55" s="461">
        <v>8780541</v>
      </c>
      <c r="AW55" s="228">
        <f t="shared" si="10"/>
        <v>20447260</v>
      </c>
      <c r="AX55" s="431">
        <f t="shared" si="6"/>
        <v>4248698</v>
      </c>
      <c r="AZ55" s="149"/>
    </row>
    <row r="56" spans="1:53" ht="15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460"/>
      <c r="AL56" s="364"/>
      <c r="AM56" s="364"/>
      <c r="AN56" s="364"/>
      <c r="AO56" s="364"/>
      <c r="AP56" s="364"/>
      <c r="AQ56" s="364"/>
      <c r="AR56" s="364"/>
      <c r="AS56" s="364"/>
      <c r="AT56" s="364"/>
      <c r="AU56" s="364"/>
      <c r="AV56" s="461"/>
      <c r="AW56" s="228">
        <f t="shared" si="10"/>
        <v>0</v>
      </c>
      <c r="AX56" s="431">
        <f t="shared" si="6"/>
        <v>0</v>
      </c>
    </row>
    <row r="57" spans="1:53" ht="15">
      <c r="A57" s="18">
        <v>24</v>
      </c>
      <c r="B57" s="7" t="s">
        <v>87</v>
      </c>
      <c r="C57" s="147"/>
      <c r="D57" s="13"/>
      <c r="E57" s="142"/>
      <c r="F57" s="143"/>
      <c r="G57" s="160"/>
      <c r="H57" s="324">
        <f t="shared" si="7"/>
        <v>0</v>
      </c>
      <c r="I57" s="252"/>
      <c r="J57" s="221"/>
      <c r="K57" s="252"/>
      <c r="L57" s="206"/>
      <c r="M57" s="206"/>
      <c r="N57" s="206"/>
      <c r="O57" s="212"/>
      <c r="P57" s="212"/>
      <c r="Q57" s="212"/>
      <c r="R57" s="212"/>
      <c r="S57" s="212"/>
      <c r="T57" s="248"/>
      <c r="U57" s="235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8"/>
        <v>0</v>
      </c>
      <c r="AH57" s="124">
        <f t="shared" si="5"/>
        <v>0</v>
      </c>
      <c r="AK57" s="460"/>
      <c r="AL57" s="364"/>
      <c r="AM57" s="364"/>
      <c r="AN57" s="364"/>
      <c r="AO57" s="364"/>
      <c r="AP57" s="364"/>
      <c r="AQ57" s="364"/>
      <c r="AR57" s="364"/>
      <c r="AS57" s="364"/>
      <c r="AT57" s="364"/>
      <c r="AU57" s="364"/>
      <c r="AV57" s="461"/>
      <c r="AW57" s="228">
        <f t="shared" si="10"/>
        <v>0</v>
      </c>
      <c r="AX57" s="431">
        <f t="shared" si="6"/>
        <v>0</v>
      </c>
    </row>
    <row r="58" spans="1:53" ht="29.25">
      <c r="A58" s="573">
        <v>25</v>
      </c>
      <c r="B58" s="601" t="s">
        <v>109</v>
      </c>
      <c r="C58" s="576">
        <v>4486</v>
      </c>
      <c r="D58" s="577">
        <v>5930369</v>
      </c>
      <c r="E58" s="578">
        <f>+D58*0.7</f>
        <v>4151258.3</v>
      </c>
      <c r="F58" s="579">
        <f>+D58*0.3</f>
        <v>1779110.7</v>
      </c>
      <c r="G58" s="580"/>
      <c r="H58" s="324">
        <f t="shared" si="7"/>
        <v>5930369</v>
      </c>
      <c r="I58" s="252"/>
      <c r="J58" s="221"/>
      <c r="K58" s="252"/>
      <c r="L58" s="206"/>
      <c r="M58" s="206"/>
      <c r="N58" s="206"/>
      <c r="O58" s="212"/>
      <c r="P58" s="212"/>
      <c r="Q58" s="212">
        <v>4151258</v>
      </c>
      <c r="R58" s="212">
        <v>1779111</v>
      </c>
      <c r="S58" s="212"/>
      <c r="T58" s="248"/>
      <c r="U58" s="235"/>
      <c r="V58" s="206"/>
      <c r="W58" s="206"/>
      <c r="X58" s="206"/>
      <c r="Y58" s="206"/>
      <c r="Z58" s="206"/>
      <c r="AA58" s="206"/>
      <c r="AB58" s="206"/>
      <c r="AC58" s="206">
        <v>4151258</v>
      </c>
      <c r="AD58" s="206">
        <v>1779111</v>
      </c>
      <c r="AE58" s="206"/>
      <c r="AF58" s="206"/>
      <c r="AG58" s="219">
        <f t="shared" si="8"/>
        <v>5930369</v>
      </c>
      <c r="AH58" s="124">
        <f t="shared" si="5"/>
        <v>0</v>
      </c>
      <c r="AK58" s="460"/>
      <c r="AL58" s="364"/>
      <c r="AM58" s="364"/>
      <c r="AN58" s="364"/>
      <c r="AO58" s="364"/>
      <c r="AP58" s="364"/>
      <c r="AQ58" s="364"/>
      <c r="AR58" s="364"/>
      <c r="AS58" s="364"/>
      <c r="AT58" s="364">
        <v>803250</v>
      </c>
      <c r="AU58" s="364"/>
      <c r="AV58" s="461"/>
      <c r="AW58" s="228">
        <f t="shared" si="10"/>
        <v>803250</v>
      </c>
      <c r="AX58" s="431">
        <f t="shared" si="6"/>
        <v>5127119</v>
      </c>
    </row>
    <row r="59" spans="1:53" ht="15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460"/>
      <c r="AL59" s="364"/>
      <c r="AM59" s="364"/>
      <c r="AN59" s="364"/>
      <c r="AO59" s="364"/>
      <c r="AP59" s="364"/>
      <c r="AQ59" s="364"/>
      <c r="AR59" s="364"/>
      <c r="AS59" s="364"/>
      <c r="AT59" s="364"/>
      <c r="AU59" s="364"/>
      <c r="AV59" s="461"/>
      <c r="AW59" s="228">
        <f t="shared" si="10"/>
        <v>0</v>
      </c>
      <c r="AX59" s="431">
        <f t="shared" si="6"/>
        <v>0</v>
      </c>
    </row>
    <row r="60" spans="1:53" ht="15">
      <c r="A60" s="18">
        <v>27</v>
      </c>
      <c r="B60" s="7" t="s">
        <v>89</v>
      </c>
      <c r="C60" s="147"/>
      <c r="D60" s="13"/>
      <c r="E60" s="142"/>
      <c r="F60" s="143"/>
      <c r="G60" s="160"/>
      <c r="H60" s="324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460"/>
      <c r="AL60" s="364"/>
      <c r="AM60" s="364"/>
      <c r="AN60" s="364"/>
      <c r="AO60" s="364"/>
      <c r="AP60" s="364"/>
      <c r="AQ60" s="364"/>
      <c r="AR60" s="364"/>
      <c r="AS60" s="364"/>
      <c r="AT60" s="364"/>
      <c r="AU60" s="364"/>
      <c r="AV60" s="461"/>
      <c r="AW60" s="228">
        <f t="shared" si="10"/>
        <v>0</v>
      </c>
      <c r="AX60" s="431">
        <f t="shared" si="6"/>
        <v>0</v>
      </c>
    </row>
    <row r="61" spans="1:53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460"/>
      <c r="AL61" s="364"/>
      <c r="AM61" s="364"/>
      <c r="AN61" s="364"/>
      <c r="AO61" s="364"/>
      <c r="AP61" s="364"/>
      <c r="AQ61" s="364"/>
      <c r="AR61" s="364"/>
      <c r="AS61" s="364"/>
      <c r="AT61" s="364"/>
      <c r="AU61" s="364"/>
      <c r="AV61" s="461"/>
      <c r="AW61" s="228">
        <f t="shared" si="10"/>
        <v>0</v>
      </c>
      <c r="AX61" s="431">
        <f t="shared" si="6"/>
        <v>0</v>
      </c>
    </row>
    <row r="62" spans="1:53" ht="15">
      <c r="A62" s="573">
        <v>29</v>
      </c>
      <c r="B62" s="575" t="s">
        <v>103</v>
      </c>
      <c r="C62" s="576">
        <v>1444</v>
      </c>
      <c r="D62" s="577">
        <v>22796910</v>
      </c>
      <c r="E62" s="578">
        <f>+D62*D31</f>
        <v>22796910</v>
      </c>
      <c r="F62" s="579"/>
      <c r="G62" s="580"/>
      <c r="H62" s="324">
        <f t="shared" si="7"/>
        <v>22796910</v>
      </c>
      <c r="I62" s="252"/>
      <c r="J62" s="221"/>
      <c r="K62" s="252">
        <v>22796910</v>
      </c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>
        <v>22796910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22796910</v>
      </c>
      <c r="AH62" s="124">
        <f t="shared" si="5"/>
        <v>0</v>
      </c>
      <c r="AK62" s="460"/>
      <c r="AL62" s="364"/>
      <c r="AM62" s="364">
        <v>0</v>
      </c>
      <c r="AN62" s="364"/>
      <c r="AO62" s="364">
        <v>22997700</v>
      </c>
      <c r="AP62" s="364"/>
      <c r="AQ62" s="364"/>
      <c r="AR62" s="364"/>
      <c r="AS62" s="364"/>
      <c r="AT62" s="364"/>
      <c r="AU62" s="364"/>
      <c r="AV62" s="461"/>
      <c r="AW62" s="228">
        <f t="shared" si="10"/>
        <v>22997700</v>
      </c>
      <c r="AX62" s="431">
        <f t="shared" si="6"/>
        <v>-200790</v>
      </c>
    </row>
    <row r="63" spans="1:53" ht="15">
      <c r="A63" s="573">
        <v>30</v>
      </c>
      <c r="B63" s="575" t="s">
        <v>90</v>
      </c>
      <c r="C63" s="576">
        <v>2884</v>
      </c>
      <c r="D63" s="577">
        <v>90259001</v>
      </c>
      <c r="E63" s="578">
        <f>+D63*E31</f>
        <v>63181300.699999996</v>
      </c>
      <c r="F63" s="579">
        <f>+D63*F31</f>
        <v>27077700.300000001</v>
      </c>
      <c r="G63" s="580"/>
      <c r="H63" s="324">
        <f t="shared" si="7"/>
        <v>90259001</v>
      </c>
      <c r="I63" s="252"/>
      <c r="J63" s="221"/>
      <c r="K63" s="252"/>
      <c r="L63" s="206"/>
      <c r="M63" s="206">
        <v>63181301</v>
      </c>
      <c r="N63" s="206"/>
      <c r="O63" s="212"/>
      <c r="P63" s="212"/>
      <c r="Q63" s="212"/>
      <c r="R63" s="212">
        <v>27077700</v>
      </c>
      <c r="S63" s="212"/>
      <c r="T63" s="248"/>
      <c r="U63" s="235"/>
      <c r="V63" s="206"/>
      <c r="W63" s="206"/>
      <c r="X63" s="206"/>
      <c r="Y63" s="206">
        <v>63181301</v>
      </c>
      <c r="Z63" s="206"/>
      <c r="AA63" s="206"/>
      <c r="AB63" s="206"/>
      <c r="AC63" s="206"/>
      <c r="AD63" s="206">
        <v>27077700</v>
      </c>
      <c r="AE63" s="206"/>
      <c r="AF63" s="206"/>
      <c r="AG63" s="219">
        <f t="shared" si="8"/>
        <v>90259001</v>
      </c>
      <c r="AH63" s="124">
        <f t="shared" si="5"/>
        <v>0</v>
      </c>
      <c r="AK63" s="460"/>
      <c r="AL63" s="364"/>
      <c r="AM63" s="364"/>
      <c r="AN63" s="364"/>
      <c r="AO63" s="364">
        <v>11927579</v>
      </c>
      <c r="AP63" s="364">
        <v>8449113</v>
      </c>
      <c r="AQ63" s="364">
        <v>4384993</v>
      </c>
      <c r="AR63" s="364">
        <v>19837684</v>
      </c>
      <c r="AS63" s="364">
        <v>8484687</v>
      </c>
      <c r="AT63" s="364">
        <v>7102920</v>
      </c>
      <c r="AU63" s="364">
        <v>4968237</v>
      </c>
      <c r="AV63" s="461">
        <v>17346262</v>
      </c>
      <c r="AW63" s="228">
        <f t="shared" si="10"/>
        <v>82501475</v>
      </c>
      <c r="AX63" s="431">
        <f t="shared" si="6"/>
        <v>7757526</v>
      </c>
    </row>
    <row r="64" spans="1:53" ht="15">
      <c r="A64" s="573">
        <v>31</v>
      </c>
      <c r="B64" s="575" t="s">
        <v>91</v>
      </c>
      <c r="C64" s="576">
        <v>1603</v>
      </c>
      <c r="D64" s="577">
        <v>16445823</v>
      </c>
      <c r="E64" s="578">
        <f>+D64*E31</f>
        <v>11512076.1</v>
      </c>
      <c r="F64" s="579">
        <f>+D64*F31</f>
        <v>4933746.8999999994</v>
      </c>
      <c r="G64" s="580"/>
      <c r="H64" s="324">
        <f t="shared" si="7"/>
        <v>16445823</v>
      </c>
      <c r="I64" s="252"/>
      <c r="J64" s="221"/>
      <c r="K64" s="252">
        <v>11512076</v>
      </c>
      <c r="L64" s="206"/>
      <c r="M64" s="206"/>
      <c r="N64" s="206"/>
      <c r="O64" s="212"/>
      <c r="P64" s="212"/>
      <c r="Q64" s="212"/>
      <c r="R64" s="212">
        <v>4933747</v>
      </c>
      <c r="S64" s="212"/>
      <c r="T64" s="248"/>
      <c r="U64" s="235"/>
      <c r="V64" s="206"/>
      <c r="W64" s="206">
        <v>11512076</v>
      </c>
      <c r="X64" s="206"/>
      <c r="Y64" s="206"/>
      <c r="Z64" s="206"/>
      <c r="AA64" s="206"/>
      <c r="AB64" s="206"/>
      <c r="AC64" s="206"/>
      <c r="AD64" s="206"/>
      <c r="AE64" s="206">
        <v>4933747</v>
      </c>
      <c r="AF64" s="206"/>
      <c r="AG64" s="219">
        <f t="shared" si="8"/>
        <v>16445823</v>
      </c>
      <c r="AH64" s="124">
        <f t="shared" si="5"/>
        <v>0</v>
      </c>
      <c r="AK64" s="460"/>
      <c r="AL64" s="364"/>
      <c r="AM64" s="364">
        <v>0</v>
      </c>
      <c r="AN64" s="364"/>
      <c r="AO64" s="364"/>
      <c r="AP64" s="364">
        <v>1042176</v>
      </c>
      <c r="AQ64" s="364">
        <v>521088</v>
      </c>
      <c r="AR64" s="364">
        <v>521088</v>
      </c>
      <c r="AS64" s="364">
        <v>521088</v>
      </c>
      <c r="AT64" s="207">
        <v>521088</v>
      </c>
      <c r="AU64" s="364">
        <v>521088</v>
      </c>
      <c r="AV64" s="461">
        <v>6257578</v>
      </c>
      <c r="AW64" s="228">
        <f t="shared" si="10"/>
        <v>9905194</v>
      </c>
      <c r="AX64" s="431">
        <f t="shared" si="6"/>
        <v>6540629</v>
      </c>
    </row>
    <row r="65" spans="1:50" ht="15">
      <c r="A65" s="573">
        <v>32</v>
      </c>
      <c r="B65" s="575" t="s">
        <v>92</v>
      </c>
      <c r="C65" s="576">
        <v>1372</v>
      </c>
      <c r="D65" s="577">
        <v>8106350</v>
      </c>
      <c r="E65" s="578">
        <f>+D65*E31</f>
        <v>5674445</v>
      </c>
      <c r="F65" s="579">
        <f>+D65*F31</f>
        <v>2431905</v>
      </c>
      <c r="G65" s="580"/>
      <c r="H65" s="324">
        <f t="shared" si="7"/>
        <v>8106350</v>
      </c>
      <c r="I65" s="252"/>
      <c r="J65" s="221"/>
      <c r="K65" s="252">
        <v>5674445</v>
      </c>
      <c r="L65" s="206"/>
      <c r="M65" s="206"/>
      <c r="N65" s="206"/>
      <c r="O65" s="212"/>
      <c r="P65" s="212"/>
      <c r="Q65" s="212"/>
      <c r="R65" s="212">
        <v>2431905</v>
      </c>
      <c r="S65" s="212"/>
      <c r="T65" s="248"/>
      <c r="U65" s="235"/>
      <c r="V65" s="206"/>
      <c r="W65" s="206">
        <v>5674445</v>
      </c>
      <c r="X65" s="206"/>
      <c r="Y65" s="206"/>
      <c r="Z65" s="206"/>
      <c r="AA65" s="206"/>
      <c r="AB65" s="206"/>
      <c r="AC65" s="206"/>
      <c r="AD65" s="206">
        <v>2431905</v>
      </c>
      <c r="AE65" s="206"/>
      <c r="AF65" s="206"/>
      <c r="AG65" s="219">
        <f t="shared" si="8"/>
        <v>8106350</v>
      </c>
      <c r="AH65" s="124">
        <f t="shared" si="5"/>
        <v>0</v>
      </c>
      <c r="AK65" s="460"/>
      <c r="AL65" s="364"/>
      <c r="AM65" s="364"/>
      <c r="AN65" s="364"/>
      <c r="AO65" s="364"/>
      <c r="AP65" s="364"/>
      <c r="AQ65" s="364"/>
      <c r="AR65" s="364"/>
      <c r="AS65" s="364"/>
      <c r="AT65" s="364"/>
      <c r="AU65" s="364"/>
      <c r="AV65" s="461"/>
      <c r="AW65" s="228">
        <f t="shared" si="10"/>
        <v>0</v>
      </c>
      <c r="AX65" s="431">
        <f t="shared" si="6"/>
        <v>8106350</v>
      </c>
    </row>
    <row r="66" spans="1:50" ht="17.25" customHeight="1">
      <c r="A66" s="573">
        <v>33</v>
      </c>
      <c r="B66" s="568" t="s">
        <v>107</v>
      </c>
      <c r="C66" s="569">
        <v>2262</v>
      </c>
      <c r="D66" s="567">
        <v>7347769</v>
      </c>
      <c r="E66" s="563">
        <f>+D66*E31</f>
        <v>5143438.3</v>
      </c>
      <c r="F66" s="564">
        <f>+D66*F31</f>
        <v>2204330.6999999997</v>
      </c>
      <c r="G66" s="565"/>
      <c r="H66" s="324">
        <f t="shared" si="7"/>
        <v>7437769</v>
      </c>
      <c r="I66" s="254"/>
      <c r="J66" s="222"/>
      <c r="K66" s="254"/>
      <c r="L66" s="365">
        <v>5206438</v>
      </c>
      <c r="M66" s="365"/>
      <c r="N66" s="365"/>
      <c r="O66" s="212"/>
      <c r="P66" s="212"/>
      <c r="Q66" s="212"/>
      <c r="R66" s="212">
        <v>2231331</v>
      </c>
      <c r="S66" s="212"/>
      <c r="T66" s="248"/>
      <c r="U66" s="366"/>
      <c r="V66" s="365"/>
      <c r="W66" s="365"/>
      <c r="X66" s="365">
        <v>5143438</v>
      </c>
      <c r="Y66" s="210"/>
      <c r="Z66" s="210"/>
      <c r="AA66" s="210"/>
      <c r="AB66" s="210"/>
      <c r="AC66" s="210"/>
      <c r="AD66" s="210">
        <v>2231331</v>
      </c>
      <c r="AE66" s="210"/>
      <c r="AF66" s="210"/>
      <c r="AG66" s="219">
        <f t="shared" si="8"/>
        <v>7374769</v>
      </c>
      <c r="AH66" s="124">
        <f t="shared" si="5"/>
        <v>63000</v>
      </c>
      <c r="AK66" s="465"/>
      <c r="AL66" s="453"/>
      <c r="AM66" s="466"/>
      <c r="AN66" s="466"/>
      <c r="AO66" s="466">
        <v>2084352</v>
      </c>
      <c r="AP66" s="466"/>
      <c r="AQ66" s="466">
        <v>1140000</v>
      </c>
      <c r="AR66" s="466">
        <v>570000</v>
      </c>
      <c r="AS66" s="466">
        <v>773320</v>
      </c>
      <c r="AT66" s="466">
        <v>570000</v>
      </c>
      <c r="AU66" s="466">
        <v>602601</v>
      </c>
      <c r="AV66" s="467">
        <v>570000</v>
      </c>
      <c r="AW66" s="228">
        <f t="shared" si="10"/>
        <v>6310273</v>
      </c>
      <c r="AX66" s="431">
        <f t="shared" si="6"/>
        <v>1064496</v>
      </c>
    </row>
    <row r="67" spans="1:50" ht="15">
      <c r="A67" s="573">
        <v>34</v>
      </c>
      <c r="B67" s="568" t="s">
        <v>180</v>
      </c>
      <c r="C67" s="569" t="s">
        <v>299</v>
      </c>
      <c r="D67" s="567">
        <f>5901129+49102000+25784742+1685496</f>
        <v>82473367</v>
      </c>
      <c r="E67" s="563">
        <v>4130790.3</v>
      </c>
      <c r="F67" s="564">
        <v>1770338.7</v>
      </c>
      <c r="G67" s="565">
        <f>49102000+25782742</f>
        <v>74884742</v>
      </c>
      <c r="H67" s="324">
        <f t="shared" si="7"/>
        <v>96871367</v>
      </c>
      <c r="I67" s="254"/>
      <c r="J67" s="222"/>
      <c r="K67" s="254">
        <v>4130790</v>
      </c>
      <c r="L67" s="210">
        <v>30240610</v>
      </c>
      <c r="M67" s="210">
        <v>19356279</v>
      </c>
      <c r="N67" s="210"/>
      <c r="O67" s="212"/>
      <c r="P67" s="212">
        <v>18047919</v>
      </c>
      <c r="Q67" s="212"/>
      <c r="R67" s="212">
        <f>6773601+2236672</f>
        <v>9010273</v>
      </c>
      <c r="S67" s="212">
        <v>16085496</v>
      </c>
      <c r="T67" s="248"/>
      <c r="U67" s="236"/>
      <c r="V67" s="210"/>
      <c r="W67" s="210">
        <v>4130790</v>
      </c>
      <c r="X67" s="210">
        <v>30240610</v>
      </c>
      <c r="Y67" s="210">
        <v>19356279</v>
      </c>
      <c r="Z67" s="210"/>
      <c r="AA67" s="210"/>
      <c r="AB67" s="210">
        <v>18047919</v>
      </c>
      <c r="AC67" s="210"/>
      <c r="AD67" s="210">
        <f>6773601+2236672</f>
        <v>9010273</v>
      </c>
      <c r="AE67" s="210">
        <v>1687496</v>
      </c>
      <c r="AF67" s="210"/>
      <c r="AG67" s="219">
        <f t="shared" si="8"/>
        <v>82473367</v>
      </c>
      <c r="AH67" s="124">
        <f t="shared" si="5"/>
        <v>14398000</v>
      </c>
      <c r="AK67" s="468"/>
      <c r="AL67" s="466"/>
      <c r="AM67" s="466"/>
      <c r="AN67" s="466"/>
      <c r="AO67" s="466">
        <v>1600000</v>
      </c>
      <c r="AP67" s="466">
        <v>8640793</v>
      </c>
      <c r="AQ67" s="466">
        <v>7927096</v>
      </c>
      <c r="AR67" s="466">
        <v>8829536</v>
      </c>
      <c r="AS67" s="466">
        <v>11150011</v>
      </c>
      <c r="AT67" s="466">
        <v>16349515</v>
      </c>
      <c r="AU67" s="466">
        <v>5368237</v>
      </c>
      <c r="AV67" s="467">
        <v>13162057</v>
      </c>
      <c r="AW67" s="228">
        <f t="shared" si="10"/>
        <v>73027245</v>
      </c>
      <c r="AX67" s="431">
        <f t="shared" si="6"/>
        <v>9446122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24">
        <f t="shared" si="7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ref="AH68:AH81" si="12">+H68-AG68</f>
        <v>0</v>
      </c>
      <c r="AK68" s="468"/>
      <c r="AL68" s="466"/>
      <c r="AM68" s="466"/>
      <c r="AN68" s="466"/>
      <c r="AO68" s="466"/>
      <c r="AP68" s="466"/>
      <c r="AQ68" s="466"/>
      <c r="AR68" s="466"/>
      <c r="AS68" s="466"/>
      <c r="AT68" s="466"/>
      <c r="AU68" s="466"/>
      <c r="AV68" s="467"/>
      <c r="AW68" s="228">
        <f t="shared" ref="AW68:AW74" si="13">SUM(AK68:AV68)</f>
        <v>0</v>
      </c>
      <c r="AX68" s="431">
        <f t="shared" si="6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12"/>
        <v>0</v>
      </c>
      <c r="AK69" s="468"/>
      <c r="AL69" s="466"/>
      <c r="AM69" s="466"/>
      <c r="AN69" s="466"/>
      <c r="AO69" s="466"/>
      <c r="AP69" s="466"/>
      <c r="AQ69" s="466"/>
      <c r="AR69" s="466"/>
      <c r="AS69" s="466"/>
      <c r="AT69" s="466"/>
      <c r="AU69" s="466"/>
      <c r="AV69" s="467"/>
      <c r="AW69" s="228">
        <f t="shared" si="13"/>
        <v>0</v>
      </c>
      <c r="AX69" s="431">
        <f t="shared" si="6"/>
        <v>0</v>
      </c>
    </row>
    <row r="70" spans="1:50" ht="15">
      <c r="A70" s="573">
        <v>37</v>
      </c>
      <c r="B70" s="568" t="s">
        <v>132</v>
      </c>
      <c r="C70" s="569">
        <v>2249</v>
      </c>
      <c r="D70" s="567">
        <v>32099907</v>
      </c>
      <c r="E70" s="563">
        <f>+D70*0.5</f>
        <v>16049953.5</v>
      </c>
      <c r="F70" s="564">
        <f>+D70*0.25</f>
        <v>8024976.75</v>
      </c>
      <c r="G70" s="565">
        <f>+D70*0.25</f>
        <v>8024976.75</v>
      </c>
      <c r="H70" s="324">
        <f t="shared" si="7"/>
        <v>32099907</v>
      </c>
      <c r="I70" s="254"/>
      <c r="J70" s="222"/>
      <c r="K70" s="254"/>
      <c r="L70" s="210"/>
      <c r="M70" s="210">
        <v>16049953</v>
      </c>
      <c r="N70" s="210"/>
      <c r="O70" s="212"/>
      <c r="P70" s="212">
        <v>8024977</v>
      </c>
      <c r="Q70" s="212"/>
      <c r="R70" s="212">
        <v>8024977</v>
      </c>
      <c r="S70" s="212"/>
      <c r="T70" s="248"/>
      <c r="U70" s="236"/>
      <c r="V70" s="210"/>
      <c r="W70" s="210"/>
      <c r="X70" s="210"/>
      <c r="Y70" s="210">
        <v>16049953</v>
      </c>
      <c r="Z70" s="210"/>
      <c r="AA70" s="210"/>
      <c r="AB70" s="210"/>
      <c r="AC70" s="210">
        <v>8024977</v>
      </c>
      <c r="AD70" s="210">
        <v>8024977</v>
      </c>
      <c r="AE70" s="210"/>
      <c r="AF70" s="210"/>
      <c r="AG70" s="219">
        <f t="shared" si="11"/>
        <v>32099907</v>
      </c>
      <c r="AH70" s="124">
        <f t="shared" si="12"/>
        <v>0</v>
      </c>
      <c r="AK70" s="468"/>
      <c r="AL70" s="466"/>
      <c r="AM70" s="466"/>
      <c r="AN70" s="466"/>
      <c r="AO70" s="466">
        <v>8189020</v>
      </c>
      <c r="AP70" s="466">
        <v>2047255</v>
      </c>
      <c r="AQ70" s="466">
        <v>1297255</v>
      </c>
      <c r="AR70" s="466">
        <v>2797255</v>
      </c>
      <c r="AS70" s="466">
        <v>2087255</v>
      </c>
      <c r="AT70" s="466">
        <v>3556280</v>
      </c>
      <c r="AU70" s="466">
        <v>3271348</v>
      </c>
      <c r="AV70" s="467">
        <v>5486030</v>
      </c>
      <c r="AW70" s="228">
        <f t="shared" si="13"/>
        <v>28731698</v>
      </c>
      <c r="AX70" s="431">
        <f t="shared" si="6"/>
        <v>3368209</v>
      </c>
    </row>
    <row r="71" spans="1:50" ht="15">
      <c r="A71" s="573">
        <v>38</v>
      </c>
      <c r="B71" s="568" t="s">
        <v>129</v>
      </c>
      <c r="C71" s="569">
        <v>2280</v>
      </c>
      <c r="D71" s="567">
        <v>1539166</v>
      </c>
      <c r="E71" s="563">
        <f>+D71*E31</f>
        <v>1077416.2</v>
      </c>
      <c r="F71" s="564">
        <f>+D71*F31</f>
        <v>461749.8</v>
      </c>
      <c r="G71" s="565"/>
      <c r="H71" s="324">
        <f t="shared" si="7"/>
        <v>1539166</v>
      </c>
      <c r="I71" s="254"/>
      <c r="J71" s="222"/>
      <c r="K71" s="254"/>
      <c r="L71" s="210"/>
      <c r="M71" s="210">
        <v>1077416</v>
      </c>
      <c r="N71" s="210"/>
      <c r="O71" s="212"/>
      <c r="P71" s="212"/>
      <c r="Q71" s="212"/>
      <c r="R71" s="212"/>
      <c r="S71" s="212">
        <v>461750</v>
      </c>
      <c r="T71" s="248"/>
      <c r="U71" s="236"/>
      <c r="V71" s="210"/>
      <c r="W71" s="210"/>
      <c r="X71" s="210"/>
      <c r="Y71" s="210">
        <v>1077416</v>
      </c>
      <c r="Z71" s="210"/>
      <c r="AA71" s="210"/>
      <c r="AB71" s="210"/>
      <c r="AC71" s="210"/>
      <c r="AD71" s="210"/>
      <c r="AE71" s="210">
        <v>461750</v>
      </c>
      <c r="AF71" s="210"/>
      <c r="AG71" s="219">
        <f t="shared" si="11"/>
        <v>1539166</v>
      </c>
      <c r="AH71" s="124">
        <f t="shared" si="12"/>
        <v>0</v>
      </c>
      <c r="AK71" s="468"/>
      <c r="AL71" s="466"/>
      <c r="AM71" s="466"/>
      <c r="AN71" s="466"/>
      <c r="AO71" s="466"/>
      <c r="AP71" s="466"/>
      <c r="AQ71" s="466"/>
      <c r="AR71" s="466"/>
      <c r="AS71" s="466"/>
      <c r="AT71" s="466"/>
      <c r="AU71" s="466"/>
      <c r="AV71" s="467"/>
      <c r="AW71" s="228">
        <f t="shared" si="13"/>
        <v>0</v>
      </c>
      <c r="AX71" s="431">
        <f t="shared" si="6"/>
        <v>1539166</v>
      </c>
    </row>
    <row r="72" spans="1:50" ht="15">
      <c r="A72" s="18">
        <v>39</v>
      </c>
      <c r="B72" s="52" t="s">
        <v>133</v>
      </c>
      <c r="C72" s="148"/>
      <c r="D72" s="43"/>
      <c r="E72" s="174"/>
      <c r="F72" s="175"/>
      <c r="G72" s="176"/>
      <c r="H72" s="324">
        <f t="shared" si="7"/>
        <v>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/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1"/>
        <v>0</v>
      </c>
      <c r="AH72" s="124">
        <f t="shared" si="12"/>
        <v>0</v>
      </c>
      <c r="AK72" s="468"/>
      <c r="AL72" s="466"/>
      <c r="AM72" s="466"/>
      <c r="AN72" s="466"/>
      <c r="AO72" s="466"/>
      <c r="AP72" s="466"/>
      <c r="AQ72" s="466"/>
      <c r="AR72" s="466"/>
      <c r="AS72" s="466"/>
      <c r="AT72" s="466"/>
      <c r="AU72" s="466"/>
      <c r="AV72" s="467"/>
      <c r="AW72" s="228">
        <f t="shared" si="13"/>
        <v>0</v>
      </c>
      <c r="AX72" s="431">
        <f t="shared" si="6"/>
        <v>0</v>
      </c>
    </row>
    <row r="73" spans="1:50" ht="15">
      <c r="A73" s="18">
        <v>40</v>
      </c>
      <c r="B73" s="52" t="s">
        <v>134</v>
      </c>
      <c r="C73" s="148"/>
      <c r="D73" s="43"/>
      <c r="E73" s="174"/>
      <c r="F73" s="175"/>
      <c r="G73" s="176"/>
      <c r="H73" s="324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1"/>
        <v>0</v>
      </c>
      <c r="AH73" s="124">
        <f t="shared" si="12"/>
        <v>0</v>
      </c>
      <c r="AK73" s="468"/>
      <c r="AL73" s="466"/>
      <c r="AM73" s="466"/>
      <c r="AN73" s="466"/>
      <c r="AO73" s="466"/>
      <c r="AP73" s="466"/>
      <c r="AQ73" s="466"/>
      <c r="AR73" s="466"/>
      <c r="AS73" s="466"/>
      <c r="AT73" s="466"/>
      <c r="AU73" s="466"/>
      <c r="AV73" s="467"/>
      <c r="AW73" s="228">
        <f t="shared" si="13"/>
        <v>0</v>
      </c>
      <c r="AX73" s="431">
        <f t="shared" si="6"/>
        <v>0</v>
      </c>
    </row>
    <row r="74" spans="1:50" ht="15">
      <c r="A74" s="18">
        <v>41</v>
      </c>
      <c r="B74" s="52" t="s">
        <v>135</v>
      </c>
      <c r="C74" s="148"/>
      <c r="D74" s="43"/>
      <c r="E74" s="174"/>
      <c r="F74" s="175"/>
      <c r="G74" s="176"/>
      <c r="H74" s="324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1"/>
        <v>0</v>
      </c>
      <c r="AH74" s="124">
        <f t="shared" si="12"/>
        <v>0</v>
      </c>
      <c r="AK74" s="468"/>
      <c r="AL74" s="466"/>
      <c r="AM74" s="466"/>
      <c r="AN74" s="466"/>
      <c r="AO74" s="466"/>
      <c r="AP74" s="466"/>
      <c r="AQ74" s="466"/>
      <c r="AR74" s="466"/>
      <c r="AS74" s="466"/>
      <c r="AT74" s="466"/>
      <c r="AU74" s="466"/>
      <c r="AV74" s="467"/>
      <c r="AW74" s="228">
        <f t="shared" si="13"/>
        <v>0</v>
      </c>
      <c r="AX74" s="431">
        <f t="shared" si="6"/>
        <v>0</v>
      </c>
    </row>
    <row r="75" spans="1:50" ht="15">
      <c r="A75" s="573">
        <v>42</v>
      </c>
      <c r="B75" s="568" t="s">
        <v>170</v>
      </c>
      <c r="C75" s="569">
        <v>1317</v>
      </c>
      <c r="D75" s="567">
        <v>3102022</v>
      </c>
      <c r="E75" s="736" t="s">
        <v>172</v>
      </c>
      <c r="F75" s="737"/>
      <c r="G75" s="738"/>
      <c r="H75" s="324">
        <f t="shared" si="7"/>
        <v>3102000</v>
      </c>
      <c r="I75" s="254"/>
      <c r="J75" s="222"/>
      <c r="K75" s="254"/>
      <c r="L75" s="210"/>
      <c r="M75" s="210"/>
      <c r="N75" s="210"/>
      <c r="O75" s="212"/>
      <c r="P75" s="212"/>
      <c r="Q75" s="212">
        <v>3102000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4">SUM(U75:AF75)</f>
        <v>0</v>
      </c>
      <c r="AH75" s="124">
        <f t="shared" si="12"/>
        <v>3102000</v>
      </c>
      <c r="AI75" s="170">
        <f>+AH75+AH76</f>
        <v>10359000</v>
      </c>
      <c r="AK75" s="468"/>
      <c r="AL75" s="466"/>
      <c r="AM75" s="466"/>
      <c r="AN75" s="466"/>
      <c r="AO75" s="466"/>
      <c r="AP75" s="466"/>
      <c r="AQ75" s="466"/>
      <c r="AR75" s="466"/>
      <c r="AS75" s="466"/>
      <c r="AT75" s="466"/>
      <c r="AU75" s="466"/>
      <c r="AV75" s="467"/>
      <c r="AW75" s="228">
        <f t="shared" ref="AW75:AW82" si="15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9">
        <v>3620</v>
      </c>
      <c r="D76" s="567">
        <v>7257000</v>
      </c>
      <c r="E76" s="736" t="s">
        <v>172</v>
      </c>
      <c r="F76" s="737"/>
      <c r="G76" s="738"/>
      <c r="H76" s="324">
        <f t="shared" si="7"/>
        <v>7257000</v>
      </c>
      <c r="I76" s="254"/>
      <c r="J76" s="222"/>
      <c r="K76" s="254"/>
      <c r="L76" s="210"/>
      <c r="M76" s="210"/>
      <c r="N76" s="210"/>
      <c r="O76" s="212"/>
      <c r="P76" s="212">
        <v>5079900</v>
      </c>
      <c r="Q76" s="212"/>
      <c r="R76" s="212"/>
      <c r="S76" s="212">
        <v>2177100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4"/>
        <v>0</v>
      </c>
      <c r="AH76" s="124">
        <f t="shared" si="12"/>
        <v>7257000</v>
      </c>
      <c r="AK76" s="468"/>
      <c r="AL76" s="466"/>
      <c r="AM76" s="466"/>
      <c r="AN76" s="466"/>
      <c r="AO76" s="466"/>
      <c r="AP76" s="466"/>
      <c r="AQ76" s="466"/>
      <c r="AR76" s="466"/>
      <c r="AS76" s="466"/>
      <c r="AT76" s="466"/>
      <c r="AU76" s="466"/>
      <c r="AV76" s="467"/>
      <c r="AW76" s="228">
        <f t="shared" si="15"/>
        <v>0</v>
      </c>
      <c r="AX76" s="431">
        <f t="shared" si="6"/>
        <v>0</v>
      </c>
    </row>
    <row r="77" spans="1:50" ht="15">
      <c r="A77" s="18">
        <v>44</v>
      </c>
      <c r="B77" s="52" t="s">
        <v>188</v>
      </c>
      <c r="C77" s="148"/>
      <c r="D77" s="43"/>
      <c r="E77" s="479"/>
      <c r="F77" s="480"/>
      <c r="G77" s="480"/>
      <c r="H77" s="324">
        <f t="shared" si="7"/>
        <v>0</v>
      </c>
      <c r="I77" s="254"/>
      <c r="J77" s="222"/>
      <c r="K77" s="254"/>
      <c r="L77" s="210"/>
      <c r="M77" s="210"/>
      <c r="N77" s="210"/>
      <c r="O77" s="212"/>
      <c r="P77" s="212"/>
      <c r="Q77" s="212"/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4"/>
        <v>0</v>
      </c>
      <c r="AH77" s="124">
        <f t="shared" si="12"/>
        <v>0</v>
      </c>
      <c r="AK77" s="468"/>
      <c r="AL77" s="466"/>
      <c r="AM77" s="466"/>
      <c r="AN77" s="466"/>
      <c r="AO77" s="466"/>
      <c r="AP77" s="466"/>
      <c r="AQ77" s="466"/>
      <c r="AR77" s="466"/>
      <c r="AS77" s="466"/>
      <c r="AT77" s="466"/>
      <c r="AU77" s="466"/>
      <c r="AV77" s="467"/>
      <c r="AW77" s="228">
        <f t="shared" si="15"/>
        <v>0</v>
      </c>
      <c r="AX77" s="431">
        <f t="shared" si="6"/>
        <v>0</v>
      </c>
    </row>
    <row r="78" spans="1:50" ht="15">
      <c r="A78" s="18">
        <v>45</v>
      </c>
      <c r="B78" s="52" t="s">
        <v>189</v>
      </c>
      <c r="C78" s="148"/>
      <c r="D78" s="43"/>
      <c r="E78" s="720" t="s">
        <v>172</v>
      </c>
      <c r="F78" s="721"/>
      <c r="G78" s="722"/>
      <c r="H78" s="324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4"/>
        <v>0</v>
      </c>
      <c r="AH78" s="124">
        <f t="shared" si="12"/>
        <v>0</v>
      </c>
      <c r="AK78" s="468"/>
      <c r="AL78" s="466"/>
      <c r="AM78" s="466"/>
      <c r="AN78" s="466"/>
      <c r="AO78" s="466"/>
      <c r="AP78" s="466"/>
      <c r="AQ78" s="466"/>
      <c r="AR78" s="466"/>
      <c r="AS78" s="466"/>
      <c r="AT78" s="466"/>
      <c r="AU78" s="466"/>
      <c r="AV78" s="467"/>
      <c r="AW78" s="228">
        <f t="shared" si="15"/>
        <v>0</v>
      </c>
      <c r="AX78" s="431">
        <f>+AG78-AW78</f>
        <v>0</v>
      </c>
    </row>
    <row r="79" spans="1:50" ht="15">
      <c r="A79" s="18"/>
      <c r="B79" s="52" t="s">
        <v>205</v>
      </c>
      <c r="C79" s="148"/>
      <c r="D79" s="43"/>
      <c r="E79" s="479"/>
      <c r="F79" s="480"/>
      <c r="G79" s="480"/>
      <c r="H79" s="324">
        <f t="shared" si="7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4"/>
        <v>0</v>
      </c>
      <c r="AH79" s="124">
        <f t="shared" si="12"/>
        <v>0</v>
      </c>
      <c r="AK79" s="468"/>
      <c r="AL79" s="466"/>
      <c r="AM79" s="466"/>
      <c r="AN79" s="466"/>
      <c r="AO79" s="466"/>
      <c r="AP79" s="466"/>
      <c r="AQ79" s="466"/>
      <c r="AR79" s="466"/>
      <c r="AS79" s="466"/>
      <c r="AT79" s="466"/>
      <c r="AU79" s="466"/>
      <c r="AV79" s="467"/>
      <c r="AW79" s="228">
        <f t="shared" si="15"/>
        <v>0</v>
      </c>
      <c r="AX79" s="431">
        <f>+AG79-AW79</f>
        <v>0</v>
      </c>
    </row>
    <row r="80" spans="1:50" ht="15">
      <c r="A80" s="18">
        <v>46</v>
      </c>
      <c r="B80" s="52" t="s">
        <v>144</v>
      </c>
      <c r="C80" s="148">
        <v>2378</v>
      </c>
      <c r="D80" s="43">
        <v>19277850</v>
      </c>
      <c r="E80" s="174">
        <f>+D80*1</f>
        <v>19277850</v>
      </c>
      <c r="F80" s="175"/>
      <c r="G80" s="176"/>
      <c r="H80" s="324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>
        <v>19277850</v>
      </c>
      <c r="AF80" s="210"/>
      <c r="AG80" s="219">
        <f t="shared" si="14"/>
        <v>19277850</v>
      </c>
      <c r="AH80" s="124">
        <f t="shared" si="12"/>
        <v>-19277850</v>
      </c>
      <c r="AK80" s="468"/>
      <c r="AL80" s="466"/>
      <c r="AM80" s="466"/>
      <c r="AN80" s="466"/>
      <c r="AO80" s="466"/>
      <c r="AP80" s="466"/>
      <c r="AQ80" s="466"/>
      <c r="AR80" s="466"/>
      <c r="AS80" s="466"/>
      <c r="AT80" s="466"/>
      <c r="AU80" s="466"/>
      <c r="AV80" s="467"/>
      <c r="AW80" s="228">
        <f t="shared" si="15"/>
        <v>0</v>
      </c>
      <c r="AX80" s="431">
        <f>+AG80-AW80</f>
        <v>19277850</v>
      </c>
    </row>
    <row r="81" spans="1:50" ht="15">
      <c r="A81" s="621"/>
      <c r="B81" s="568" t="s">
        <v>256</v>
      </c>
      <c r="C81" s="569" t="s">
        <v>267</v>
      </c>
      <c r="D81" s="567">
        <v>2815655</v>
      </c>
      <c r="E81" s="563">
        <f>+D81</f>
        <v>2815655</v>
      </c>
      <c r="F81" s="564"/>
      <c r="G81" s="565"/>
      <c r="H81" s="324">
        <f t="shared" si="7"/>
        <v>2815655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2815655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219">
        <f t="shared" si="14"/>
        <v>2815655</v>
      </c>
      <c r="AH81" s="124">
        <f t="shared" si="12"/>
        <v>0</v>
      </c>
      <c r="AK81" s="468"/>
      <c r="AL81" s="466"/>
      <c r="AM81" s="466"/>
      <c r="AN81" s="466"/>
      <c r="AO81" s="466"/>
      <c r="AP81" s="466"/>
      <c r="AQ81" s="466"/>
      <c r="AR81" s="466"/>
      <c r="AS81" s="466"/>
      <c r="AT81" s="466"/>
      <c r="AU81" s="466"/>
      <c r="AV81" s="467">
        <v>1592582</v>
      </c>
      <c r="AW81" s="228">
        <f t="shared" si="15"/>
        <v>1592582</v>
      </c>
      <c r="AX81" s="431">
        <f>+AG81-AW81</f>
        <v>1223073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24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4"/>
        <v>0</v>
      </c>
      <c r="AH82" s="124">
        <f>+H82-AG82</f>
        <v>0</v>
      </c>
      <c r="AK82" s="468"/>
      <c r="AL82" s="466"/>
      <c r="AM82" s="466"/>
      <c r="AN82" s="466"/>
      <c r="AO82" s="466"/>
      <c r="AP82" s="466"/>
      <c r="AQ82" s="466"/>
      <c r="AR82" s="466"/>
      <c r="AS82" s="466"/>
      <c r="AT82" s="466"/>
      <c r="AU82" s="466"/>
      <c r="AV82" s="467"/>
      <c r="AW82" s="228">
        <f t="shared" si="15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891787229</v>
      </c>
      <c r="E83" s="86"/>
      <c r="F83" s="87"/>
      <c r="G83" s="88"/>
      <c r="H83" s="348">
        <f t="shared" ref="H83:AG83" si="16">SUM(H34:H82)</f>
        <v>889812712.19999993</v>
      </c>
      <c r="I83" s="255">
        <f t="shared" si="16"/>
        <v>0</v>
      </c>
      <c r="J83" s="256">
        <f t="shared" si="16"/>
        <v>0</v>
      </c>
      <c r="K83" s="256">
        <f t="shared" si="16"/>
        <v>329566760.80000001</v>
      </c>
      <c r="L83" s="256">
        <f t="shared" si="16"/>
        <v>47951135</v>
      </c>
      <c r="M83" s="256">
        <f t="shared" si="16"/>
        <v>205202147.09999999</v>
      </c>
      <c r="N83" s="256">
        <f t="shared" si="16"/>
        <v>3856515</v>
      </c>
      <c r="O83" s="256">
        <f t="shared" si="16"/>
        <v>3856515</v>
      </c>
      <c r="P83" s="256">
        <f t="shared" si="16"/>
        <v>35009311</v>
      </c>
      <c r="Q83" s="256">
        <f t="shared" si="16"/>
        <v>11109773</v>
      </c>
      <c r="R83" s="256">
        <f t="shared" si="16"/>
        <v>199636303.40000001</v>
      </c>
      <c r="S83" s="256">
        <f t="shared" si="16"/>
        <v>45126433</v>
      </c>
      <c r="T83" s="256">
        <f t="shared" si="16"/>
        <v>8497818.8999999985</v>
      </c>
      <c r="U83" s="241">
        <f t="shared" si="16"/>
        <v>0</v>
      </c>
      <c r="V83" s="241">
        <f t="shared" si="16"/>
        <v>0</v>
      </c>
      <c r="W83" s="241">
        <f t="shared" si="16"/>
        <v>329566761.20000005</v>
      </c>
      <c r="X83" s="241">
        <f t="shared" si="16"/>
        <v>47888135</v>
      </c>
      <c r="Y83" s="241">
        <f t="shared" si="16"/>
        <v>205202147.09999999</v>
      </c>
      <c r="Z83" s="241">
        <f t="shared" si="16"/>
        <v>0</v>
      </c>
      <c r="AA83" s="241">
        <f t="shared" si="16"/>
        <v>3856515</v>
      </c>
      <c r="AB83" s="241">
        <f t="shared" si="16"/>
        <v>21904434</v>
      </c>
      <c r="AC83" s="241">
        <f t="shared" si="16"/>
        <v>19889265</v>
      </c>
      <c r="AD83" s="241">
        <f t="shared" si="16"/>
        <v>186999742.40000001</v>
      </c>
      <c r="AE83" s="241">
        <f t="shared" si="16"/>
        <v>60465744</v>
      </c>
      <c r="AF83" s="241">
        <f t="shared" si="16"/>
        <v>8497818.8999999985</v>
      </c>
      <c r="AG83" s="241">
        <f t="shared" si="16"/>
        <v>884270562.5999999</v>
      </c>
      <c r="AH83" s="125">
        <f>+H83-AG83</f>
        <v>5542149.6000000238</v>
      </c>
      <c r="AK83" s="425">
        <f t="shared" ref="AK83:AX83" si="17">SUM(AK34:AK82)</f>
        <v>0</v>
      </c>
      <c r="AL83" s="425">
        <f t="shared" si="17"/>
        <v>0</v>
      </c>
      <c r="AM83" s="425">
        <f t="shared" si="17"/>
        <v>0</v>
      </c>
      <c r="AN83" s="425">
        <f t="shared" si="17"/>
        <v>0</v>
      </c>
      <c r="AO83" s="425">
        <f t="shared" si="17"/>
        <v>97193119</v>
      </c>
      <c r="AP83" s="425">
        <f t="shared" si="17"/>
        <v>41782695</v>
      </c>
      <c r="AQ83" s="425">
        <f t="shared" si="17"/>
        <v>40450676</v>
      </c>
      <c r="AR83" s="425">
        <f t="shared" si="17"/>
        <v>62246911</v>
      </c>
      <c r="AS83" s="425">
        <f t="shared" si="17"/>
        <v>55744733</v>
      </c>
      <c r="AT83" s="425">
        <f t="shared" si="17"/>
        <v>59459201</v>
      </c>
      <c r="AU83" s="425">
        <f t="shared" si="17"/>
        <v>70556188</v>
      </c>
      <c r="AV83" s="438">
        <f t="shared" si="17"/>
        <v>91115269</v>
      </c>
      <c r="AW83" s="451">
        <f t="shared" si="17"/>
        <v>518548792</v>
      </c>
      <c r="AX83" s="429">
        <f t="shared" si="17"/>
        <v>365721770.59999996</v>
      </c>
    </row>
    <row r="84" spans="1:50" s="376" customFormat="1" ht="15.75" thickBot="1">
      <c r="D84" s="377"/>
      <c r="E84" s="378"/>
      <c r="F84" s="378"/>
      <c r="G84" s="378"/>
      <c r="H84" s="379"/>
      <c r="I84" s="379"/>
      <c r="J84" s="379"/>
      <c r="K84" s="379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3450029</v>
      </c>
      <c r="V84" s="396">
        <v>3450030</v>
      </c>
      <c r="W84" s="395">
        <v>3450032</v>
      </c>
      <c r="X84" s="396">
        <v>3450033</v>
      </c>
      <c r="Y84" s="395">
        <v>3452151</v>
      </c>
      <c r="Z84" s="396">
        <v>3467823</v>
      </c>
      <c r="AA84" s="395">
        <v>3479957</v>
      </c>
      <c r="AB84" s="396">
        <v>3491821</v>
      </c>
      <c r="AC84" s="395">
        <v>3510155</v>
      </c>
      <c r="AD84" s="396">
        <v>3513784</v>
      </c>
      <c r="AE84" s="395"/>
      <c r="AF84" s="395"/>
      <c r="AG84" s="379"/>
      <c r="AO84" s="469"/>
    </row>
    <row r="85" spans="1:50" ht="15.75" thickBot="1">
      <c r="A85" s="761" t="s">
        <v>94</v>
      </c>
      <c r="B85" s="762"/>
      <c r="C85" s="763"/>
      <c r="D85" s="133">
        <f>+D83+D30</f>
        <v>4278999413</v>
      </c>
      <c r="E85" s="127"/>
      <c r="F85" s="128"/>
      <c r="G85" s="128"/>
      <c r="H85" s="242">
        <f>+H30</f>
        <v>3729358349.3099999</v>
      </c>
      <c r="I85" s="215">
        <f t="shared" ref="I85:AH85" si="18">+I83+I30</f>
        <v>282267682</v>
      </c>
      <c r="J85" s="215">
        <f t="shared" si="18"/>
        <v>282283621</v>
      </c>
      <c r="K85" s="215">
        <f t="shared" si="18"/>
        <v>611842412.11000001</v>
      </c>
      <c r="L85" s="215">
        <f t="shared" si="18"/>
        <v>398210325</v>
      </c>
      <c r="M85" s="215">
        <f t="shared" si="18"/>
        <v>487477798.10000002</v>
      </c>
      <c r="N85" s="215">
        <f t="shared" si="18"/>
        <v>357098815</v>
      </c>
      <c r="O85" s="215">
        <f t="shared" si="18"/>
        <v>286132166</v>
      </c>
      <c r="P85" s="215">
        <f t="shared" si="18"/>
        <v>317284962</v>
      </c>
      <c r="Q85" s="215">
        <f t="shared" si="18"/>
        <v>429788611</v>
      </c>
      <c r="R85" s="215">
        <f t="shared" si="18"/>
        <v>481437683.39999998</v>
      </c>
      <c r="S85" s="215">
        <f t="shared" si="18"/>
        <v>326927813</v>
      </c>
      <c r="T85" s="257">
        <f t="shared" si="18"/>
        <v>358419172.89999998</v>
      </c>
      <c r="U85" s="242">
        <f t="shared" si="18"/>
        <v>282267682</v>
      </c>
      <c r="V85" s="215">
        <f t="shared" si="18"/>
        <v>282283621</v>
      </c>
      <c r="W85" s="285">
        <f t="shared" si="18"/>
        <v>611842412.20000005</v>
      </c>
      <c r="X85" s="242">
        <f t="shared" si="18"/>
        <v>398147325</v>
      </c>
      <c r="Y85" s="215">
        <f t="shared" si="18"/>
        <v>487477798.10000002</v>
      </c>
      <c r="Z85" s="285">
        <f t="shared" si="18"/>
        <v>353242300</v>
      </c>
      <c r="AA85" s="242">
        <f t="shared" si="18"/>
        <v>286132166</v>
      </c>
      <c r="AB85" s="215">
        <f t="shared" si="18"/>
        <v>304180085</v>
      </c>
      <c r="AC85" s="285">
        <f t="shared" si="18"/>
        <v>438568103</v>
      </c>
      <c r="AD85" s="242">
        <f t="shared" si="18"/>
        <v>468801122.39999998</v>
      </c>
      <c r="AE85" s="215">
        <f t="shared" si="18"/>
        <v>342267124</v>
      </c>
      <c r="AF85" s="285">
        <f t="shared" si="18"/>
        <v>358419172.89999998</v>
      </c>
      <c r="AG85" s="282">
        <f t="shared" si="18"/>
        <v>4613628911.6000004</v>
      </c>
      <c r="AH85" s="132">
        <f t="shared" si="18"/>
        <v>5542149.9099999666</v>
      </c>
      <c r="AP85" s="473"/>
      <c r="AR85" s="473"/>
      <c r="AS85" s="473"/>
    </row>
    <row r="86" spans="1:50">
      <c r="AW86" s="473"/>
    </row>
    <row r="87" spans="1:50" ht="15" thickBot="1">
      <c r="D87" s="1"/>
      <c r="E87" s="1"/>
      <c r="F87" s="1"/>
      <c r="G87" s="1"/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1176393715.2</v>
      </c>
    </row>
    <row r="90" spans="1:50">
      <c r="A90" s="276" t="s">
        <v>120</v>
      </c>
      <c r="B90" s="706" t="s">
        <v>124</v>
      </c>
      <c r="C90" s="707"/>
      <c r="D90" s="277">
        <f>+X85+Y85+Z85</f>
        <v>1238867423.0999999</v>
      </c>
      <c r="X90" s="207">
        <v>1238867423</v>
      </c>
    </row>
    <row r="91" spans="1:50">
      <c r="A91" s="276" t="s">
        <v>121</v>
      </c>
      <c r="B91" s="706" t="s">
        <v>125</v>
      </c>
      <c r="C91" s="707"/>
      <c r="D91" s="277">
        <f>+AA85+AB85+AC85</f>
        <v>1028880354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1169487419.3</v>
      </c>
    </row>
    <row r="93" spans="1:50" ht="15.75" customHeight="1" thickBot="1">
      <c r="A93" s="756" t="s">
        <v>117</v>
      </c>
      <c r="B93" s="757"/>
      <c r="C93" s="757"/>
      <c r="D93" s="280">
        <f>SUM(D89:D92)</f>
        <v>4613628911.6000004</v>
      </c>
    </row>
    <row r="97" spans="2:6" ht="15">
      <c r="B97" s="509" t="s">
        <v>234</v>
      </c>
      <c r="E97" s="1"/>
    </row>
    <row r="98" spans="2:6">
      <c r="B98" s="700" t="s">
        <v>241</v>
      </c>
      <c r="C98" s="700"/>
      <c r="D98" s="700"/>
      <c r="E98" s="700"/>
    </row>
    <row r="99" spans="2:6">
      <c r="B99" s="700"/>
      <c r="C99" s="700"/>
      <c r="D99" s="700"/>
      <c r="E99" s="700"/>
    </row>
    <row r="100" spans="2:6">
      <c r="B100" s="700"/>
      <c r="C100" s="700"/>
      <c r="D100" s="700"/>
      <c r="E100" s="700"/>
    </row>
    <row r="102" spans="2:6" ht="15">
      <c r="C102" s="508" t="s">
        <v>82</v>
      </c>
      <c r="D102" s="6">
        <v>7713030</v>
      </c>
    </row>
    <row r="103" spans="2:6" ht="15">
      <c r="C103" s="508" t="s">
        <v>236</v>
      </c>
      <c r="D103" s="511">
        <v>8024977</v>
      </c>
    </row>
    <row r="104" spans="2:6">
      <c r="D104" s="6">
        <f>SUM(D102:D103)</f>
        <v>15738007</v>
      </c>
      <c r="E104" s="298"/>
      <c r="F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AX93"/>
  <sheetViews>
    <sheetView topLeftCell="B23" zoomScale="70" zoomScaleNormal="70" workbookViewId="0">
      <selection activeCell="F52" sqref="A52:XFD52"/>
    </sheetView>
  </sheetViews>
  <sheetFormatPr baseColWidth="10" defaultRowHeight="14.25"/>
  <cols>
    <col min="1" max="1" width="4.85546875" style="1" customWidth="1"/>
    <col min="2" max="2" width="54.85546875" style="1" bestFit="1" customWidth="1"/>
    <col min="3" max="3" width="19" style="1" customWidth="1"/>
    <col min="4" max="4" width="16.7109375" style="6" customWidth="1"/>
    <col min="5" max="5" width="15.85546875" style="4" customWidth="1"/>
    <col min="6" max="6" width="14" style="4" customWidth="1"/>
    <col min="7" max="7" width="13.5703125" style="4" customWidth="1"/>
    <col min="8" max="8" width="19.85546875" style="1" customWidth="1"/>
    <col min="9" max="9" width="13" style="1" customWidth="1"/>
    <col min="10" max="10" width="18.28515625" style="1" customWidth="1"/>
    <col min="11" max="12" width="14.42578125" style="1" customWidth="1"/>
    <col min="13" max="13" width="15.7109375" style="1" customWidth="1"/>
    <col min="14" max="14" width="9.42578125" style="1" customWidth="1"/>
    <col min="15" max="15" width="18.28515625" style="1" customWidth="1"/>
    <col min="16" max="16" width="13.140625" style="207" customWidth="1"/>
    <col min="17" max="17" width="13.7109375" style="1" customWidth="1"/>
    <col min="18" max="18" width="16.42578125" style="1" customWidth="1"/>
    <col min="19" max="19" width="19.7109375" style="1" customWidth="1"/>
    <col min="20" max="20" width="12.7109375" style="1" customWidth="1"/>
    <col min="21" max="21" width="8.5703125" style="1" customWidth="1"/>
    <col min="22" max="22" width="9.85546875" style="1" customWidth="1"/>
    <col min="23" max="23" width="15.28515625" style="1" customWidth="1"/>
    <col min="24" max="24" width="17.140625" style="1" customWidth="1"/>
    <col min="25" max="25" width="14.7109375" style="1" customWidth="1"/>
    <col min="26" max="26" width="8.7109375" style="1" customWidth="1"/>
    <col min="27" max="27" width="16.42578125" style="1" customWidth="1"/>
    <col min="28" max="28" width="16.5703125" style="1" customWidth="1"/>
    <col min="29" max="29" width="16.42578125" style="1" customWidth="1"/>
    <col min="30" max="30" width="15.28515625" style="207" customWidth="1"/>
    <col min="31" max="31" width="15.42578125" style="1" customWidth="1"/>
    <col min="32" max="32" width="14.28515625" style="1" customWidth="1"/>
    <col min="33" max="33" width="17" style="1" customWidth="1"/>
    <col min="34" max="34" width="15.140625" style="1" customWidth="1"/>
    <col min="35" max="36" width="11.42578125" style="1" customWidth="1"/>
    <col min="37" max="45" width="11.42578125" style="1" hidden="1" customWidth="1"/>
    <col min="46" max="46" width="14.42578125" style="1" hidden="1" customWidth="1"/>
    <col min="47" max="47" width="15.42578125" style="1" bestFit="1" customWidth="1"/>
    <col min="48" max="48" width="14.28515625" style="1" bestFit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42" t="s">
        <v>3</v>
      </c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</row>
    <row r="6" spans="1:34" ht="14.25" customHeight="1"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  <c r="Z6" s="742"/>
      <c r="AA6" s="742"/>
      <c r="AB6" s="742"/>
      <c r="AC6" s="742"/>
      <c r="AD6" s="742"/>
    </row>
    <row r="7" spans="1:34"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</row>
    <row r="10" spans="1:34">
      <c r="B10" s="3" t="s">
        <v>147</v>
      </c>
    </row>
    <row r="11" spans="1:34">
      <c r="B11" s="3" t="s">
        <v>149</v>
      </c>
      <c r="D11" s="380" t="s">
        <v>148</v>
      </c>
    </row>
    <row r="12" spans="1:34" ht="21.75" customHeight="1">
      <c r="B12" s="3" t="s">
        <v>70</v>
      </c>
    </row>
    <row r="14" spans="1:34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10" t="s">
        <v>38</v>
      </c>
      <c r="I14" s="711"/>
      <c r="J14" s="711"/>
      <c r="K14" s="711"/>
      <c r="L14" s="711"/>
      <c r="M14" s="711"/>
      <c r="N14" s="747"/>
      <c r="O14" s="713"/>
      <c r="P14" s="713"/>
      <c r="Q14" s="713"/>
      <c r="R14" s="713"/>
      <c r="S14" s="713"/>
      <c r="T14" s="714"/>
      <c r="U14" s="715" t="s">
        <v>39</v>
      </c>
      <c r="V14" s="716"/>
      <c r="W14" s="716"/>
      <c r="X14" s="716"/>
      <c r="Y14" s="716"/>
      <c r="Z14" s="716"/>
      <c r="AA14" s="716"/>
      <c r="AB14" s="716"/>
      <c r="AC14" s="716"/>
      <c r="AD14" s="716"/>
      <c r="AE14" s="716"/>
      <c r="AF14" s="716"/>
      <c r="AG14" s="717"/>
    </row>
    <row r="15" spans="1:34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161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77" t="s">
        <v>13</v>
      </c>
      <c r="W15" s="77" t="s">
        <v>14</v>
      </c>
      <c r="X15" s="77" t="s">
        <v>15</v>
      </c>
      <c r="Y15" s="77" t="s">
        <v>16</v>
      </c>
      <c r="Z15" s="77" t="s">
        <v>17</v>
      </c>
      <c r="AA15" s="77" t="s">
        <v>18</v>
      </c>
      <c r="AB15" s="77" t="s">
        <v>19</v>
      </c>
      <c r="AC15" s="77" t="s">
        <v>20</v>
      </c>
      <c r="AD15" s="208" t="s">
        <v>21</v>
      </c>
      <c r="AE15" s="77" t="s">
        <v>22</v>
      </c>
      <c r="AF15" s="335" t="s">
        <v>23</v>
      </c>
      <c r="AG15" s="79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/>
      <c r="E16" s="22"/>
      <c r="F16" s="23"/>
      <c r="G16" s="24"/>
      <c r="H16" s="318"/>
      <c r="I16" s="153"/>
      <c r="J16" s="33"/>
      <c r="K16" s="33"/>
      <c r="L16" s="9"/>
      <c r="M16" s="33"/>
      <c r="N16" s="33"/>
      <c r="O16" s="33"/>
      <c r="P16" s="212"/>
      <c r="Q16" s="33"/>
      <c r="R16" s="33"/>
      <c r="S16" s="33"/>
      <c r="T16" s="21"/>
      <c r="U16" s="38"/>
      <c r="V16" s="39"/>
      <c r="W16" s="39"/>
      <c r="X16" s="39"/>
      <c r="Y16" s="39"/>
      <c r="Z16" s="39"/>
      <c r="AA16" s="39"/>
      <c r="AB16" s="39"/>
      <c r="AC16" s="39"/>
      <c r="AD16" s="209"/>
      <c r="AE16" s="39"/>
      <c r="AF16" s="55"/>
      <c r="AG16" s="36">
        <f>SUM(U16:AF16)</f>
        <v>0</v>
      </c>
      <c r="AH16" s="123">
        <f t="shared" ref="AH16:AH30" si="0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/>
      <c r="E17" s="15"/>
      <c r="F17" s="14"/>
      <c r="G17" s="16"/>
      <c r="H17" s="319"/>
      <c r="I17" s="154"/>
      <c r="J17" s="9"/>
      <c r="K17" s="9"/>
      <c r="L17" s="9"/>
      <c r="M17" s="9"/>
      <c r="N17" s="9"/>
      <c r="O17" s="9"/>
      <c r="P17" s="206"/>
      <c r="Q17" s="9"/>
      <c r="R17" s="9"/>
      <c r="S17" s="9"/>
      <c r="T17" s="13"/>
      <c r="U17" s="35"/>
      <c r="V17" s="9"/>
      <c r="W17" s="9"/>
      <c r="X17" s="9"/>
      <c r="Y17" s="9"/>
      <c r="Z17" s="9"/>
      <c r="AA17" s="9"/>
      <c r="AB17" s="9"/>
      <c r="AC17" s="9"/>
      <c r="AD17" s="206"/>
      <c r="AE17" s="9"/>
      <c r="AF17" s="13"/>
      <c r="AG17" s="37">
        <f t="shared" ref="AG17:AG28" si="1">SUM(U17:AF17)</f>
        <v>0</v>
      </c>
      <c r="AH17" s="124">
        <f t="shared" si="0"/>
        <v>0</v>
      </c>
    </row>
    <row r="18" spans="1:48" ht="15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/>
      <c r="I18" s="154"/>
      <c r="J18" s="9"/>
      <c r="K18" s="9"/>
      <c r="L18" s="9"/>
      <c r="M18" s="9"/>
      <c r="N18" s="9"/>
      <c r="O18" s="9"/>
      <c r="P18" s="206"/>
      <c r="Q18" s="9"/>
      <c r="R18" s="9"/>
      <c r="S18" s="9"/>
      <c r="T18" s="13"/>
      <c r="U18" s="35"/>
      <c r="V18" s="9"/>
      <c r="W18" s="9"/>
      <c r="X18" s="9"/>
      <c r="Y18" s="9"/>
      <c r="Z18" s="9"/>
      <c r="AA18" s="9"/>
      <c r="AB18" s="9"/>
      <c r="AC18" s="9"/>
      <c r="AD18" s="206"/>
      <c r="AE18" s="9"/>
      <c r="AF18" s="13"/>
      <c r="AG18" s="37">
        <f t="shared" si="1"/>
        <v>0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/>
      <c r="E19" s="15"/>
      <c r="F19" s="14"/>
      <c r="G19" s="16"/>
      <c r="H19" s="319"/>
      <c r="I19" s="154"/>
      <c r="J19" s="9"/>
      <c r="K19" s="9"/>
      <c r="L19" s="9"/>
      <c r="M19" s="9"/>
      <c r="N19" s="9"/>
      <c r="O19" s="9"/>
      <c r="P19" s="206"/>
      <c r="Q19" s="9"/>
      <c r="R19" s="9"/>
      <c r="S19" s="9"/>
      <c r="T19" s="13"/>
      <c r="U19" s="35"/>
      <c r="V19" s="9"/>
      <c r="W19" s="9"/>
      <c r="X19" s="9"/>
      <c r="Y19" s="9"/>
      <c r="Z19" s="9"/>
      <c r="AA19" s="9"/>
      <c r="AB19" s="9"/>
      <c r="AC19" s="9"/>
      <c r="AD19" s="206"/>
      <c r="AE19" s="9"/>
      <c r="AF19" s="13"/>
      <c r="AG19" s="37">
        <f t="shared" si="1"/>
        <v>0</v>
      </c>
      <c r="AH19" s="124">
        <f t="shared" si="0"/>
        <v>0</v>
      </c>
    </row>
    <row r="20" spans="1:48" ht="29.25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19"/>
      <c r="I20" s="154"/>
      <c r="J20" s="9"/>
      <c r="K20" s="9"/>
      <c r="L20" s="9"/>
      <c r="M20" s="9"/>
      <c r="N20" s="9"/>
      <c r="O20" s="9"/>
      <c r="P20" s="206"/>
      <c r="Q20" s="9"/>
      <c r="R20" s="9"/>
      <c r="S20" s="9"/>
      <c r="T20" s="13"/>
      <c r="U20" s="35"/>
      <c r="V20" s="9"/>
      <c r="W20" s="9"/>
      <c r="X20" s="9"/>
      <c r="Y20" s="9"/>
      <c r="Z20" s="9"/>
      <c r="AA20" s="9"/>
      <c r="AB20" s="9"/>
      <c r="AC20" s="9"/>
      <c r="AD20" s="206"/>
      <c r="AE20" s="9"/>
      <c r="AF20" s="13"/>
      <c r="AG20" s="37">
        <f t="shared" si="1"/>
        <v>0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/>
      <c r="E21" s="15"/>
      <c r="F21" s="14"/>
      <c r="G21" s="16"/>
      <c r="H21" s="319">
        <f>SUM(R21:T21)</f>
        <v>619667</v>
      </c>
      <c r="I21" s="154"/>
      <c r="J21" s="9"/>
      <c r="K21" s="9"/>
      <c r="L21" s="9"/>
      <c r="M21" s="9"/>
      <c r="N21" s="9"/>
      <c r="O21" s="9"/>
      <c r="P21" s="206"/>
      <c r="Q21" s="9"/>
      <c r="R21" s="9"/>
      <c r="S21" s="9"/>
      <c r="T21" s="13">
        <v>619667</v>
      </c>
      <c r="U21" s="35"/>
      <c r="V21" s="9"/>
      <c r="W21" s="9"/>
      <c r="X21" s="9"/>
      <c r="Y21" s="9"/>
      <c r="Z21" s="9"/>
      <c r="AA21" s="9"/>
      <c r="AB21" s="9"/>
      <c r="AC21" s="9"/>
      <c r="AD21" s="206"/>
      <c r="AE21" s="9"/>
      <c r="AF21" s="13">
        <v>619667</v>
      </c>
      <c r="AG21" s="37">
        <f t="shared" si="1"/>
        <v>619667</v>
      </c>
      <c r="AH21" s="124">
        <f t="shared" si="0"/>
        <v>0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19"/>
      <c r="I22" s="154"/>
      <c r="J22" s="9"/>
      <c r="K22" s="9"/>
      <c r="L22" s="9"/>
      <c r="M22" s="9"/>
      <c r="N22" s="9"/>
      <c r="O22" s="9"/>
      <c r="P22" s="206"/>
      <c r="Q22" s="9"/>
      <c r="R22" s="9"/>
      <c r="S22" s="9"/>
      <c r="T22" s="13"/>
      <c r="U22" s="35"/>
      <c r="V22" s="9"/>
      <c r="W22" s="9"/>
      <c r="X22" s="9"/>
      <c r="Y22" s="9"/>
      <c r="Z22" s="9"/>
      <c r="AA22" s="9"/>
      <c r="AB22" s="9"/>
      <c r="AC22" s="9"/>
      <c r="AD22" s="206"/>
      <c r="AE22" s="9"/>
      <c r="AF22" s="13"/>
      <c r="AG22" s="37">
        <f>SUM(U22:AF22)</f>
        <v>0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19"/>
      <c r="I23" s="154"/>
      <c r="J23" s="9"/>
      <c r="K23" s="9"/>
      <c r="L23" s="9"/>
      <c r="M23" s="9"/>
      <c r="N23" s="9"/>
      <c r="O23" s="9"/>
      <c r="P23" s="206"/>
      <c r="Q23" s="9"/>
      <c r="R23" s="9"/>
      <c r="S23" s="9"/>
      <c r="T23" s="13"/>
      <c r="U23" s="35"/>
      <c r="V23" s="9"/>
      <c r="W23" s="9"/>
      <c r="X23" s="9"/>
      <c r="Y23" s="9"/>
      <c r="Z23" s="9"/>
      <c r="AA23" s="9"/>
      <c r="AB23" s="9"/>
      <c r="AC23" s="9"/>
      <c r="AD23" s="206"/>
      <c r="AE23" s="9"/>
      <c r="AF23" s="13"/>
      <c r="AG23" s="37">
        <f>SUM(U23:AF23)</f>
        <v>0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/>
      <c r="E24" s="15"/>
      <c r="F24" s="14"/>
      <c r="G24" s="16"/>
      <c r="H24" s="319"/>
      <c r="I24" s="154"/>
      <c r="J24" s="9"/>
      <c r="K24" s="9"/>
      <c r="L24" s="9"/>
      <c r="M24" s="9"/>
      <c r="N24" s="9"/>
      <c r="O24" s="9"/>
      <c r="P24" s="206"/>
      <c r="Q24" s="9"/>
      <c r="R24" s="9"/>
      <c r="S24" s="9"/>
      <c r="T24" s="13"/>
      <c r="U24" s="35"/>
      <c r="V24" s="9"/>
      <c r="W24" s="9"/>
      <c r="X24" s="9"/>
      <c r="Y24" s="9"/>
      <c r="Z24" s="9"/>
      <c r="AA24" s="9"/>
      <c r="AB24" s="9"/>
      <c r="AC24" s="9"/>
      <c r="AD24" s="206"/>
      <c r="AE24" s="9"/>
      <c r="AF24" s="13"/>
      <c r="AG24" s="37">
        <f t="shared" si="1"/>
        <v>0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19"/>
      <c r="I25" s="154"/>
      <c r="J25" s="9"/>
      <c r="K25" s="9"/>
      <c r="L25" s="9"/>
      <c r="M25" s="9"/>
      <c r="N25" s="9"/>
      <c r="O25" s="9"/>
      <c r="P25" s="206"/>
      <c r="Q25" s="9"/>
      <c r="R25" s="9"/>
      <c r="S25" s="9"/>
      <c r="T25" s="13"/>
      <c r="U25" s="35"/>
      <c r="V25" s="9"/>
      <c r="W25" s="9"/>
      <c r="X25" s="9"/>
      <c r="Y25" s="9"/>
      <c r="Z25" s="9"/>
      <c r="AA25" s="9"/>
      <c r="AB25" s="9"/>
      <c r="AC25" s="9"/>
      <c r="AD25" s="206"/>
      <c r="AE25" s="9"/>
      <c r="AF25" s="13"/>
      <c r="AG25" s="37">
        <f t="shared" si="1"/>
        <v>0</v>
      </c>
      <c r="AH25" s="124">
        <f t="shared" si="0"/>
        <v>0</v>
      </c>
    </row>
    <row r="26" spans="1:48" ht="15">
      <c r="A26" s="11">
        <v>9</v>
      </c>
      <c r="B26" s="7" t="s">
        <v>34</v>
      </c>
      <c r="C26" s="147" t="s">
        <v>29</v>
      </c>
      <c r="D26" s="13"/>
      <c r="E26" s="15"/>
      <c r="F26" s="14"/>
      <c r="G26" s="16"/>
      <c r="H26" s="319"/>
      <c r="I26" s="154"/>
      <c r="J26" s="9"/>
      <c r="K26" s="9"/>
      <c r="L26" s="9"/>
      <c r="M26" s="9"/>
      <c r="N26" s="9"/>
      <c r="O26" s="9"/>
      <c r="P26" s="206"/>
      <c r="Q26" s="9"/>
      <c r="R26" s="9"/>
      <c r="S26" s="9"/>
      <c r="T26" s="13"/>
      <c r="U26" s="35"/>
      <c r="V26" s="9"/>
      <c r="W26" s="9"/>
      <c r="X26" s="9"/>
      <c r="Y26" s="9"/>
      <c r="Z26" s="9"/>
      <c r="AA26" s="9"/>
      <c r="AB26" s="9"/>
      <c r="AC26" s="9"/>
      <c r="AD26" s="206"/>
      <c r="AE26" s="9"/>
      <c r="AF26" s="13"/>
      <c r="AG26" s="37">
        <f t="shared" si="1"/>
        <v>0</v>
      </c>
      <c r="AH26" s="124">
        <f t="shared" si="0"/>
        <v>0</v>
      </c>
    </row>
    <row r="27" spans="1:48" ht="15">
      <c r="A27" s="11">
        <v>12</v>
      </c>
      <c r="B27" s="7" t="s">
        <v>202</v>
      </c>
      <c r="C27" s="147" t="s">
        <v>29</v>
      </c>
      <c r="D27" s="13"/>
      <c r="E27" s="15"/>
      <c r="F27" s="14"/>
      <c r="G27" s="16"/>
      <c r="H27" s="319"/>
      <c r="I27" s="154"/>
      <c r="J27" s="9"/>
      <c r="K27" s="9"/>
      <c r="L27" s="9"/>
      <c r="M27" s="9"/>
      <c r="N27" s="9"/>
      <c r="O27" s="9"/>
      <c r="P27" s="206"/>
      <c r="Q27" s="9"/>
      <c r="R27" s="9"/>
      <c r="S27" s="9"/>
      <c r="T27" s="13"/>
      <c r="U27" s="35"/>
      <c r="V27" s="9"/>
      <c r="W27" s="9"/>
      <c r="X27" s="9"/>
      <c r="Y27" s="9"/>
      <c r="Z27" s="9"/>
      <c r="AA27" s="9"/>
      <c r="AB27" s="9"/>
      <c r="AC27" s="9"/>
      <c r="AD27" s="206"/>
      <c r="AE27" s="9"/>
      <c r="AF27" s="13"/>
      <c r="AG27" s="37">
        <f t="shared" si="1"/>
        <v>0</v>
      </c>
      <c r="AH27" s="124">
        <f t="shared" si="0"/>
        <v>0</v>
      </c>
    </row>
    <row r="28" spans="1:48" ht="15">
      <c r="A28" s="11">
        <v>13</v>
      </c>
      <c r="B28" s="7" t="s">
        <v>203</v>
      </c>
      <c r="C28" s="147" t="s">
        <v>29</v>
      </c>
      <c r="D28" s="13"/>
      <c r="E28" s="15"/>
      <c r="F28" s="14"/>
      <c r="G28" s="16"/>
      <c r="H28" s="319"/>
      <c r="I28" s="154"/>
      <c r="J28" s="9"/>
      <c r="K28" s="9"/>
      <c r="L28" s="9"/>
      <c r="M28" s="9"/>
      <c r="N28" s="9"/>
      <c r="O28" s="9"/>
      <c r="P28" s="206"/>
      <c r="Q28" s="9"/>
      <c r="R28" s="9"/>
      <c r="S28" s="9"/>
      <c r="T28" s="13"/>
      <c r="U28" s="35"/>
      <c r="V28" s="9"/>
      <c r="W28" s="9"/>
      <c r="X28" s="9"/>
      <c r="Y28" s="9"/>
      <c r="Z28" s="9"/>
      <c r="AA28" s="9"/>
      <c r="AB28" s="9"/>
      <c r="AC28" s="9"/>
      <c r="AD28" s="206"/>
      <c r="AE28" s="9"/>
      <c r="AF28" s="13"/>
      <c r="AG28" s="37">
        <f t="shared" si="1"/>
        <v>0</v>
      </c>
      <c r="AH28" s="124">
        <f t="shared" si="0"/>
        <v>0</v>
      </c>
    </row>
    <row r="29" spans="1:48" ht="15">
      <c r="A29" s="51"/>
      <c r="B29" s="7" t="s">
        <v>298</v>
      </c>
      <c r="C29" s="147" t="s">
        <v>29</v>
      </c>
      <c r="D29" s="13"/>
      <c r="E29" s="15"/>
      <c r="F29" s="14"/>
      <c r="G29" s="16"/>
      <c r="H29" s="319"/>
      <c r="I29" s="154"/>
      <c r="J29" s="9"/>
      <c r="K29" s="9"/>
      <c r="L29" s="9"/>
      <c r="M29" s="9"/>
      <c r="N29" s="9"/>
      <c r="O29" s="9"/>
      <c r="P29" s="206"/>
      <c r="Q29" s="9"/>
      <c r="R29" s="9"/>
      <c r="S29" s="9"/>
      <c r="T29" s="13"/>
      <c r="U29" s="35"/>
      <c r="V29" s="9"/>
      <c r="W29" s="9"/>
      <c r="X29" s="9"/>
      <c r="Y29" s="9"/>
      <c r="Z29" s="9"/>
      <c r="AA29" s="9"/>
      <c r="AB29" s="9"/>
      <c r="AC29" s="9"/>
      <c r="AD29" s="206"/>
      <c r="AE29" s="9"/>
      <c r="AF29" s="13"/>
      <c r="AG29" s="37"/>
      <c r="AH29" s="124"/>
    </row>
    <row r="30" spans="1:48" ht="15.75" thickBot="1">
      <c r="A30" s="790" t="s">
        <v>36</v>
      </c>
      <c r="B30" s="791"/>
      <c r="C30" s="99"/>
      <c r="D30" s="100">
        <f>SUM(D16:D26)</f>
        <v>0</v>
      </c>
      <c r="E30" s="101"/>
      <c r="F30" s="102"/>
      <c r="G30" s="103"/>
      <c r="H30" s="326">
        <f>SUM(H16:H28)</f>
        <v>619667</v>
      </c>
      <c r="I30" s="315">
        <f>SUM(I16:I28)</f>
        <v>0</v>
      </c>
      <c r="J30" s="315">
        <f t="shared" ref="J30:O30" si="2">SUM(J16:J28)</f>
        <v>0</v>
      </c>
      <c r="K30" s="315">
        <f t="shared" si="2"/>
        <v>0</v>
      </c>
      <c r="L30" s="315">
        <f t="shared" si="2"/>
        <v>0</v>
      </c>
      <c r="M30" s="315">
        <f t="shared" si="2"/>
        <v>0</v>
      </c>
      <c r="N30" s="315">
        <f t="shared" si="2"/>
        <v>0</v>
      </c>
      <c r="O30" s="315">
        <f t="shared" si="2"/>
        <v>0</v>
      </c>
      <c r="P30" s="497">
        <f t="shared" ref="P30:AF30" si="3">SUM(P16:P28)</f>
        <v>0</v>
      </c>
      <c r="Q30" s="315">
        <f t="shared" si="3"/>
        <v>0</v>
      </c>
      <c r="R30" s="315">
        <f t="shared" si="3"/>
        <v>0</v>
      </c>
      <c r="S30" s="315">
        <f t="shared" si="3"/>
        <v>0</v>
      </c>
      <c r="T30" s="315">
        <f t="shared" si="3"/>
        <v>619667</v>
      </c>
      <c r="U30" s="112">
        <f t="shared" si="3"/>
        <v>0</v>
      </c>
      <c r="V30" s="113">
        <f t="shared" si="3"/>
        <v>0</v>
      </c>
      <c r="W30" s="113">
        <f t="shared" si="3"/>
        <v>0</v>
      </c>
      <c r="X30" s="113">
        <f t="shared" si="3"/>
        <v>0</v>
      </c>
      <c r="Y30" s="113">
        <f t="shared" si="3"/>
        <v>0</v>
      </c>
      <c r="Z30" s="113">
        <f t="shared" si="3"/>
        <v>0</v>
      </c>
      <c r="AA30" s="113">
        <f t="shared" si="3"/>
        <v>0</v>
      </c>
      <c r="AB30" s="113">
        <f t="shared" si="3"/>
        <v>0</v>
      </c>
      <c r="AC30" s="113">
        <f t="shared" si="3"/>
        <v>0</v>
      </c>
      <c r="AD30" s="632">
        <f t="shared" si="3"/>
        <v>0</v>
      </c>
      <c r="AE30" s="113">
        <f t="shared" si="3"/>
        <v>0</v>
      </c>
      <c r="AF30" s="113">
        <f t="shared" si="3"/>
        <v>619667</v>
      </c>
      <c r="AG30" s="114">
        <f>SUM(U30:AF30)</f>
        <v>619667</v>
      </c>
      <c r="AH30" s="121">
        <f t="shared" si="0"/>
        <v>0</v>
      </c>
    </row>
    <row r="31" spans="1:48" ht="15" thickBot="1">
      <c r="D31" s="196">
        <v>1776284</v>
      </c>
      <c r="E31" s="5">
        <v>0.7</v>
      </c>
      <c r="F31" s="5">
        <v>0.3</v>
      </c>
      <c r="G31" s="5"/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10" t="s">
        <v>38</v>
      </c>
      <c r="I32" s="711"/>
      <c r="J32" s="711"/>
      <c r="K32" s="711"/>
      <c r="L32" s="711"/>
      <c r="M32" s="711"/>
      <c r="N32" s="712"/>
      <c r="O32" s="713"/>
      <c r="P32" s="713"/>
      <c r="Q32" s="713"/>
      <c r="R32" s="713"/>
      <c r="S32" s="713"/>
      <c r="T32" s="714"/>
      <c r="U32" s="715" t="s">
        <v>39</v>
      </c>
      <c r="V32" s="716"/>
      <c r="W32" s="716"/>
      <c r="X32" s="716"/>
      <c r="Y32" s="716"/>
      <c r="Z32" s="716"/>
      <c r="AA32" s="716"/>
      <c r="AB32" s="716"/>
      <c r="AC32" s="716"/>
      <c r="AD32" s="716"/>
      <c r="AE32" s="716"/>
      <c r="AF32" s="716"/>
      <c r="AG32" s="717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0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28" t="s">
        <v>12</v>
      </c>
      <c r="J33" s="161" t="s">
        <v>13</v>
      </c>
      <c r="K33" s="161" t="s">
        <v>14</v>
      </c>
      <c r="L33" s="161" t="s">
        <v>15</v>
      </c>
      <c r="M33" s="161" t="s">
        <v>16</v>
      </c>
      <c r="N33" s="161" t="s">
        <v>17</v>
      </c>
      <c r="O33" s="161" t="s">
        <v>18</v>
      </c>
      <c r="P33" s="288" t="s">
        <v>19</v>
      </c>
      <c r="Q33" s="161" t="s">
        <v>20</v>
      </c>
      <c r="R33" s="161" t="s">
        <v>21</v>
      </c>
      <c r="S33" s="161" t="s">
        <v>22</v>
      </c>
      <c r="T33" s="162" t="s">
        <v>23</v>
      </c>
      <c r="U33" s="76" t="s">
        <v>12</v>
      </c>
      <c r="V33" s="77" t="s">
        <v>13</v>
      </c>
      <c r="W33" s="77" t="s">
        <v>14</v>
      </c>
      <c r="X33" s="77" t="s">
        <v>15</v>
      </c>
      <c r="Y33" s="77" t="s">
        <v>16</v>
      </c>
      <c r="Z33" s="77" t="s">
        <v>17</v>
      </c>
      <c r="AA33" s="77" t="s">
        <v>18</v>
      </c>
      <c r="AB33" s="77" t="s">
        <v>19</v>
      </c>
      <c r="AC33" s="77" t="s">
        <v>20</v>
      </c>
      <c r="AD33" s="208" t="s">
        <v>21</v>
      </c>
      <c r="AE33" s="77" t="s">
        <v>22</v>
      </c>
      <c r="AF33" s="77" t="s">
        <v>23</v>
      </c>
      <c r="AG33" s="78" t="s">
        <v>24</v>
      </c>
      <c r="AH33" s="118" t="s">
        <v>37</v>
      </c>
      <c r="AK33" s="419" t="s">
        <v>12</v>
      </c>
      <c r="AL33" s="420" t="s">
        <v>13</v>
      </c>
      <c r="AM33" s="420" t="s">
        <v>14</v>
      </c>
      <c r="AN33" s="420" t="s">
        <v>15</v>
      </c>
      <c r="AO33" s="420" t="s">
        <v>16</v>
      </c>
      <c r="AP33" s="420" t="s">
        <v>17</v>
      </c>
      <c r="AQ33" s="420" t="s">
        <v>18</v>
      </c>
      <c r="AR33" s="420" t="s">
        <v>19</v>
      </c>
      <c r="AS33" s="420" t="s">
        <v>20</v>
      </c>
      <c r="AT33" s="420" t="s">
        <v>21</v>
      </c>
      <c r="AU33" s="420" t="s">
        <v>22</v>
      </c>
      <c r="AV33" s="439" t="s">
        <v>23</v>
      </c>
      <c r="AW33" s="423" t="s">
        <v>178</v>
      </c>
      <c r="AX33" s="167" t="s">
        <v>179</v>
      </c>
    </row>
    <row r="34" spans="1:50" ht="15">
      <c r="A34" s="18">
        <v>1</v>
      </c>
      <c r="B34" s="19" t="s">
        <v>99</v>
      </c>
      <c r="C34" s="146"/>
      <c r="D34" s="21"/>
      <c r="E34" s="150"/>
      <c r="F34" s="151"/>
      <c r="G34" s="158"/>
      <c r="H34" s="353">
        <f>SUM(I34:T34)</f>
        <v>0</v>
      </c>
      <c r="I34" s="38"/>
      <c r="J34" s="152"/>
      <c r="K34" s="39"/>
      <c r="L34" s="39"/>
      <c r="M34" s="39"/>
      <c r="N34" s="39"/>
      <c r="O34" s="39"/>
      <c r="P34" s="209"/>
      <c r="Q34" s="39"/>
      <c r="R34" s="39"/>
      <c r="S34" s="39"/>
      <c r="T34" s="40"/>
      <c r="U34" s="268"/>
      <c r="V34" s="152"/>
      <c r="W34" s="39"/>
      <c r="X34" s="39"/>
      <c r="Y34" s="39"/>
      <c r="Z34" s="39"/>
      <c r="AA34" s="39"/>
      <c r="AB34" s="39"/>
      <c r="AC34" s="39"/>
      <c r="AD34" s="209"/>
      <c r="AE34" s="39"/>
      <c r="AF34" s="39"/>
      <c r="AG34" s="40">
        <f>SUM(U34:AF34)</f>
        <v>0</v>
      </c>
      <c r="AH34" s="123">
        <f>+H34-AG34</f>
        <v>0</v>
      </c>
      <c r="AK34" s="268"/>
      <c r="AL34" s="152"/>
      <c r="AM34" s="39"/>
      <c r="AN34" s="39"/>
      <c r="AO34" s="39"/>
      <c r="AP34" s="39"/>
      <c r="AQ34" s="39"/>
      <c r="AR34" s="39"/>
      <c r="AS34" s="39"/>
      <c r="AT34" s="39"/>
      <c r="AU34" s="39"/>
      <c r="AV34" s="55"/>
      <c r="AW34" s="36">
        <f>SUM(AK34:AV34)</f>
        <v>0</v>
      </c>
      <c r="AX34" s="123">
        <f>+AG34-AW34</f>
        <v>0</v>
      </c>
    </row>
    <row r="35" spans="1:50" ht="15">
      <c r="A35" s="18">
        <v>2</v>
      </c>
      <c r="B35" s="19" t="s">
        <v>100</v>
      </c>
      <c r="C35" s="146"/>
      <c r="D35" s="21"/>
      <c r="E35" s="140"/>
      <c r="F35" s="141"/>
      <c r="G35" s="159"/>
      <c r="H35" s="354">
        <f t="shared" ref="H35:H82" si="4">SUM(I35:T35)</f>
        <v>0</v>
      </c>
      <c r="I35" s="35"/>
      <c r="J35" s="65"/>
      <c r="K35" s="9"/>
      <c r="L35" s="9"/>
      <c r="M35" s="9"/>
      <c r="N35" s="9"/>
      <c r="O35" s="9"/>
      <c r="P35" s="206"/>
      <c r="Q35" s="9"/>
      <c r="R35" s="9"/>
      <c r="S35" s="9"/>
      <c r="T35" s="12"/>
      <c r="U35" s="153"/>
      <c r="V35" s="65"/>
      <c r="W35" s="33"/>
      <c r="X35" s="33"/>
      <c r="Y35" s="33"/>
      <c r="Z35" s="33"/>
      <c r="AA35" s="33"/>
      <c r="AB35" s="33"/>
      <c r="AC35" s="33"/>
      <c r="AD35" s="212"/>
      <c r="AE35" s="33"/>
      <c r="AF35" s="33"/>
      <c r="AG35" s="34"/>
      <c r="AH35" s="124"/>
      <c r="AK35" s="153"/>
      <c r="AL35" s="65"/>
      <c r="AM35" s="33"/>
      <c r="AN35" s="33"/>
      <c r="AO35" s="33"/>
      <c r="AP35" s="33"/>
      <c r="AQ35" s="33"/>
      <c r="AR35" s="33"/>
      <c r="AS35" s="33"/>
      <c r="AT35" s="33"/>
      <c r="AU35" s="33"/>
      <c r="AV35" s="21"/>
      <c r="AW35" s="37"/>
      <c r="AX35" s="431">
        <f t="shared" ref="AX35:AX77" si="5">+AG35-AW35</f>
        <v>0</v>
      </c>
    </row>
    <row r="36" spans="1:50" ht="15">
      <c r="A36" s="18">
        <v>3</v>
      </c>
      <c r="B36" s="7" t="s">
        <v>74</v>
      </c>
      <c r="C36" s="147"/>
      <c r="D36" s="13"/>
      <c r="E36" s="142"/>
      <c r="F36" s="143"/>
      <c r="G36" s="160"/>
      <c r="H36" s="354">
        <f t="shared" si="4"/>
        <v>0</v>
      </c>
      <c r="I36" s="35"/>
      <c r="J36" s="65"/>
      <c r="K36" s="9"/>
      <c r="L36" s="9"/>
      <c r="M36" s="9"/>
      <c r="N36" s="9"/>
      <c r="O36" s="9"/>
      <c r="P36" s="206"/>
      <c r="Q36" s="9"/>
      <c r="R36" s="9"/>
      <c r="S36" s="9"/>
      <c r="T36" s="12"/>
      <c r="U36" s="154"/>
      <c r="V36" s="65"/>
      <c r="W36" s="9"/>
      <c r="X36" s="9"/>
      <c r="Y36" s="9"/>
      <c r="Z36" s="9"/>
      <c r="AA36" s="9"/>
      <c r="AB36" s="9"/>
      <c r="AC36" s="9"/>
      <c r="AD36" s="206"/>
      <c r="AE36" s="9"/>
      <c r="AF36" s="9"/>
      <c r="AG36" s="34">
        <f t="shared" ref="AG36:AG67" si="6">SUM(U36:AF36)</f>
        <v>0</v>
      </c>
      <c r="AH36" s="124">
        <f t="shared" ref="AH36:AH67" si="7">+H36-AG36</f>
        <v>0</v>
      </c>
      <c r="AK36" s="154"/>
      <c r="AL36" s="65"/>
      <c r="AM36" s="9"/>
      <c r="AN36" s="9"/>
      <c r="AO36" s="9"/>
      <c r="AP36" s="9"/>
      <c r="AQ36" s="9"/>
      <c r="AR36" s="9"/>
      <c r="AS36" s="9"/>
      <c r="AT36" s="9"/>
      <c r="AU36" s="9"/>
      <c r="AV36" s="13"/>
      <c r="AW36" s="37">
        <f t="shared" ref="AW36:AW45" si="8">SUM(AK36:AV36)</f>
        <v>0</v>
      </c>
      <c r="AX36" s="431">
        <f t="shared" si="5"/>
        <v>0</v>
      </c>
    </row>
    <row r="37" spans="1:50" ht="15">
      <c r="A37" s="18">
        <v>4</v>
      </c>
      <c r="B37" s="7" t="s">
        <v>75</v>
      </c>
      <c r="C37" s="147"/>
      <c r="D37" s="13"/>
      <c r="E37" s="142"/>
      <c r="F37" s="143"/>
      <c r="G37" s="160"/>
      <c r="H37" s="354">
        <f t="shared" si="4"/>
        <v>0</v>
      </c>
      <c r="I37" s="35"/>
      <c r="J37" s="65"/>
      <c r="K37" s="9"/>
      <c r="L37" s="9"/>
      <c r="M37" s="9"/>
      <c r="N37" s="9"/>
      <c r="O37" s="9"/>
      <c r="P37" s="206"/>
      <c r="Q37" s="9"/>
      <c r="R37" s="9"/>
      <c r="S37" s="9"/>
      <c r="T37" s="12"/>
      <c r="U37" s="154"/>
      <c r="V37" s="65"/>
      <c r="W37" s="9"/>
      <c r="X37" s="9"/>
      <c r="Y37" s="9"/>
      <c r="Z37" s="9"/>
      <c r="AA37" s="9"/>
      <c r="AB37" s="9"/>
      <c r="AC37" s="9"/>
      <c r="AD37" s="206"/>
      <c r="AE37" s="9"/>
      <c r="AF37" s="9"/>
      <c r="AG37" s="34">
        <f t="shared" si="6"/>
        <v>0</v>
      </c>
      <c r="AH37" s="124">
        <f t="shared" si="7"/>
        <v>0</v>
      </c>
      <c r="AK37" s="154"/>
      <c r="AL37" s="65"/>
      <c r="AM37" s="9"/>
      <c r="AN37" s="9"/>
      <c r="AO37" s="9"/>
      <c r="AP37" s="9"/>
      <c r="AQ37" s="9"/>
      <c r="AR37" s="9"/>
      <c r="AS37" s="9"/>
      <c r="AT37" s="9"/>
      <c r="AU37" s="9"/>
      <c r="AV37" s="13"/>
      <c r="AW37" s="37">
        <f t="shared" si="8"/>
        <v>0</v>
      </c>
      <c r="AX37" s="431">
        <f t="shared" si="5"/>
        <v>0</v>
      </c>
    </row>
    <row r="38" spans="1:50" ht="15">
      <c r="A38" s="18">
        <v>5</v>
      </c>
      <c r="B38" s="7" t="s">
        <v>101</v>
      </c>
      <c r="C38" s="147"/>
      <c r="D38" s="13"/>
      <c r="E38" s="142"/>
      <c r="F38" s="143"/>
      <c r="G38" s="160"/>
      <c r="H38" s="354">
        <f t="shared" si="4"/>
        <v>0</v>
      </c>
      <c r="I38" s="35"/>
      <c r="J38" s="65"/>
      <c r="K38" s="9"/>
      <c r="L38" s="9"/>
      <c r="M38" s="9"/>
      <c r="N38" s="9"/>
      <c r="O38" s="9"/>
      <c r="P38" s="206"/>
      <c r="Q38" s="9"/>
      <c r="R38" s="9"/>
      <c r="S38" s="9"/>
      <c r="T38" s="12"/>
      <c r="U38" s="154"/>
      <c r="V38" s="65"/>
      <c r="W38" s="9"/>
      <c r="X38" s="9"/>
      <c r="Y38" s="9"/>
      <c r="Z38" s="9"/>
      <c r="AA38" s="9"/>
      <c r="AB38" s="9"/>
      <c r="AC38" s="9"/>
      <c r="AD38" s="206"/>
      <c r="AE38" s="9"/>
      <c r="AF38" s="9"/>
      <c r="AG38" s="34">
        <f t="shared" si="6"/>
        <v>0</v>
      </c>
      <c r="AH38" s="124">
        <f t="shared" si="7"/>
        <v>0</v>
      </c>
      <c r="AK38" s="154"/>
      <c r="AL38" s="65"/>
      <c r="AM38" s="9"/>
      <c r="AN38" s="9"/>
      <c r="AO38" s="9"/>
      <c r="AP38" s="9"/>
      <c r="AQ38" s="9"/>
      <c r="AR38" s="9"/>
      <c r="AS38" s="9"/>
      <c r="AT38" s="9"/>
      <c r="AU38" s="9"/>
      <c r="AV38" s="13"/>
      <c r="AW38" s="37">
        <f t="shared" si="8"/>
        <v>0</v>
      </c>
      <c r="AX38" s="431">
        <f t="shared" si="5"/>
        <v>0</v>
      </c>
    </row>
    <row r="39" spans="1:50" ht="15">
      <c r="A39" s="18">
        <v>6</v>
      </c>
      <c r="B39" s="7" t="s">
        <v>102</v>
      </c>
      <c r="C39" s="147"/>
      <c r="D39" s="13"/>
      <c r="E39" s="142"/>
      <c r="F39" s="143"/>
      <c r="G39" s="160"/>
      <c r="H39" s="354">
        <f t="shared" si="4"/>
        <v>0</v>
      </c>
      <c r="I39" s="35"/>
      <c r="J39" s="65"/>
      <c r="K39" s="9"/>
      <c r="L39" s="9"/>
      <c r="M39" s="9"/>
      <c r="N39" s="9"/>
      <c r="O39" s="9"/>
      <c r="P39" s="206"/>
      <c r="Q39" s="9"/>
      <c r="R39" s="9"/>
      <c r="S39" s="9"/>
      <c r="T39" s="12"/>
      <c r="U39" s="154"/>
      <c r="V39" s="65"/>
      <c r="W39" s="9"/>
      <c r="X39" s="9"/>
      <c r="Y39" s="9"/>
      <c r="Z39" s="9"/>
      <c r="AA39" s="9"/>
      <c r="AB39" s="9"/>
      <c r="AC39" s="9"/>
      <c r="AD39" s="206"/>
      <c r="AE39" s="9"/>
      <c r="AF39" s="9"/>
      <c r="AG39" s="34">
        <f t="shared" si="6"/>
        <v>0</v>
      </c>
      <c r="AH39" s="124">
        <f t="shared" si="7"/>
        <v>0</v>
      </c>
      <c r="AK39" s="154"/>
      <c r="AL39" s="65"/>
      <c r="AM39" s="9"/>
      <c r="AN39" s="9"/>
      <c r="AO39" s="9"/>
      <c r="AP39" s="9"/>
      <c r="AQ39" s="9"/>
      <c r="AR39" s="9"/>
      <c r="AS39" s="9"/>
      <c r="AT39" s="9"/>
      <c r="AU39" s="9"/>
      <c r="AV39" s="13"/>
      <c r="AW39" s="37">
        <f t="shared" si="8"/>
        <v>0</v>
      </c>
      <c r="AX39" s="431">
        <f t="shared" si="5"/>
        <v>0</v>
      </c>
    </row>
    <row r="40" spans="1:50" ht="15">
      <c r="A40" s="18">
        <v>7</v>
      </c>
      <c r="B40" s="7" t="s">
        <v>112</v>
      </c>
      <c r="C40" s="147"/>
      <c r="D40" s="13"/>
      <c r="E40" s="142"/>
      <c r="F40" s="143"/>
      <c r="G40" s="160"/>
      <c r="H40" s="354">
        <f t="shared" si="4"/>
        <v>0</v>
      </c>
      <c r="I40" s="35"/>
      <c r="J40" s="65"/>
      <c r="K40" s="9"/>
      <c r="L40" s="9"/>
      <c r="M40" s="9"/>
      <c r="N40" s="9"/>
      <c r="O40" s="9"/>
      <c r="P40" s="206"/>
      <c r="Q40" s="9"/>
      <c r="R40" s="9"/>
      <c r="S40" s="9"/>
      <c r="T40" s="12"/>
      <c r="U40" s="154"/>
      <c r="V40" s="65"/>
      <c r="W40" s="9"/>
      <c r="X40" s="9"/>
      <c r="Y40" s="9"/>
      <c r="Z40" s="9"/>
      <c r="AA40" s="9"/>
      <c r="AB40" s="9"/>
      <c r="AC40" s="9"/>
      <c r="AD40" s="206"/>
      <c r="AE40" s="9"/>
      <c r="AF40" s="9"/>
      <c r="AG40" s="34">
        <f t="shared" si="6"/>
        <v>0</v>
      </c>
      <c r="AH40" s="124">
        <f t="shared" si="7"/>
        <v>0</v>
      </c>
      <c r="AK40" s="154"/>
      <c r="AL40" s="65"/>
      <c r="AM40" s="9"/>
      <c r="AN40" s="9"/>
      <c r="AO40" s="9"/>
      <c r="AP40" s="9"/>
      <c r="AQ40" s="9"/>
      <c r="AR40" s="9"/>
      <c r="AS40" s="9"/>
      <c r="AT40" s="9"/>
      <c r="AU40" s="9"/>
      <c r="AV40" s="13"/>
      <c r="AW40" s="37">
        <f t="shared" si="8"/>
        <v>0</v>
      </c>
      <c r="AX40" s="431">
        <f t="shared" si="5"/>
        <v>0</v>
      </c>
    </row>
    <row r="41" spans="1:50" ht="15">
      <c r="A41" s="573">
        <v>8</v>
      </c>
      <c r="B41" s="575" t="s">
        <v>76</v>
      </c>
      <c r="C41" s="576" t="s">
        <v>255</v>
      </c>
      <c r="D41" s="577">
        <v>31004910</v>
      </c>
      <c r="E41" s="578">
        <f>+D41*E31</f>
        <v>21703437</v>
      </c>
      <c r="F41" s="579">
        <f>+D41*F31</f>
        <v>9301473</v>
      </c>
      <c r="G41" s="580"/>
      <c r="H41" s="354">
        <f t="shared" si="4"/>
        <v>31004910</v>
      </c>
      <c r="I41" s="35"/>
      <c r="J41" s="65"/>
      <c r="K41" s="9">
        <v>21703437</v>
      </c>
      <c r="L41" s="9"/>
      <c r="M41" s="9"/>
      <c r="N41" s="9"/>
      <c r="O41" s="9"/>
      <c r="P41" s="206"/>
      <c r="Q41" s="9"/>
      <c r="R41" s="9">
        <v>9301473</v>
      </c>
      <c r="S41" s="9"/>
      <c r="T41" s="12"/>
      <c r="U41" s="154"/>
      <c r="V41" s="65"/>
      <c r="W41" s="9">
        <v>21703437</v>
      </c>
      <c r="X41" s="9"/>
      <c r="Y41" s="9"/>
      <c r="Z41" s="9"/>
      <c r="AA41" s="9"/>
      <c r="AB41" s="9"/>
      <c r="AC41" s="9"/>
      <c r="AD41" s="206">
        <v>9301473</v>
      </c>
      <c r="AE41" s="9"/>
      <c r="AF41" s="9"/>
      <c r="AG41" s="34">
        <f t="shared" si="6"/>
        <v>31004910</v>
      </c>
      <c r="AH41" s="124">
        <f t="shared" si="7"/>
        <v>0</v>
      </c>
      <c r="AK41" s="154"/>
      <c r="AL41" s="65"/>
      <c r="AM41" s="9"/>
      <c r="AN41" s="9"/>
      <c r="AO41" s="9"/>
      <c r="AP41" s="9"/>
      <c r="AQ41" s="9"/>
      <c r="AR41" s="9"/>
      <c r="AS41" s="9"/>
      <c r="AT41" s="9">
        <v>6776910</v>
      </c>
      <c r="AU41" s="9"/>
      <c r="AV41" s="13"/>
      <c r="AW41" s="37">
        <f t="shared" si="8"/>
        <v>6776910</v>
      </c>
      <c r="AX41" s="431">
        <f t="shared" si="5"/>
        <v>24228000</v>
      </c>
    </row>
    <row r="42" spans="1:50" ht="15">
      <c r="A42" s="18">
        <v>9</v>
      </c>
      <c r="B42" s="66" t="s">
        <v>77</v>
      </c>
      <c r="C42" s="147"/>
      <c r="D42" s="13"/>
      <c r="E42" s="142"/>
      <c r="F42" s="143"/>
      <c r="G42" s="160"/>
      <c r="H42" s="354">
        <f t="shared" si="4"/>
        <v>0</v>
      </c>
      <c r="I42" s="35"/>
      <c r="J42" s="65"/>
      <c r="K42" s="9"/>
      <c r="L42" s="9"/>
      <c r="M42" s="9"/>
      <c r="N42" s="9"/>
      <c r="O42" s="9"/>
      <c r="P42" s="206"/>
      <c r="Q42" s="9"/>
      <c r="R42" s="9"/>
      <c r="S42" s="9"/>
      <c r="T42" s="12"/>
      <c r="U42" s="154"/>
      <c r="V42" s="65"/>
      <c r="W42" s="9"/>
      <c r="X42" s="9"/>
      <c r="Y42" s="9"/>
      <c r="Z42" s="9"/>
      <c r="AA42" s="9"/>
      <c r="AB42" s="9"/>
      <c r="AC42" s="9"/>
      <c r="AD42" s="206"/>
      <c r="AE42" s="9"/>
      <c r="AF42" s="9"/>
      <c r="AG42" s="34">
        <f t="shared" si="6"/>
        <v>0</v>
      </c>
      <c r="AH42" s="124">
        <f t="shared" si="7"/>
        <v>0</v>
      </c>
      <c r="AK42" s="154"/>
      <c r="AL42" s="65"/>
      <c r="AM42" s="9"/>
      <c r="AN42" s="9"/>
      <c r="AO42" s="9"/>
      <c r="AP42" s="9"/>
      <c r="AQ42" s="9"/>
      <c r="AR42" s="9"/>
      <c r="AS42" s="9"/>
      <c r="AT42" s="9"/>
      <c r="AU42" s="9"/>
      <c r="AV42" s="13"/>
      <c r="AW42" s="37">
        <f t="shared" si="8"/>
        <v>0</v>
      </c>
      <c r="AX42" s="431">
        <f t="shared" si="5"/>
        <v>0</v>
      </c>
    </row>
    <row r="43" spans="1:50" ht="15">
      <c r="A43" s="573">
        <v>10</v>
      </c>
      <c r="B43" s="575" t="s">
        <v>104</v>
      </c>
      <c r="C43" s="576" t="s">
        <v>174</v>
      </c>
      <c r="D43" s="577">
        <v>30375467</v>
      </c>
      <c r="E43" s="578">
        <f>+D43*E31</f>
        <v>21262826.899999999</v>
      </c>
      <c r="F43" s="579">
        <f>+D43*F31</f>
        <v>9112640.0999999996</v>
      </c>
      <c r="G43" s="580"/>
      <c r="H43" s="354">
        <f t="shared" si="4"/>
        <v>30375467</v>
      </c>
      <c r="I43" s="35"/>
      <c r="J43" s="65"/>
      <c r="K43" s="9">
        <v>21262827</v>
      </c>
      <c r="L43" s="9"/>
      <c r="M43" s="9"/>
      <c r="N43" s="9"/>
      <c r="O43" s="9"/>
      <c r="P43" s="206"/>
      <c r="Q43" s="9"/>
      <c r="R43" s="9">
        <v>9112640</v>
      </c>
      <c r="S43" s="9"/>
      <c r="T43" s="12"/>
      <c r="U43" s="154"/>
      <c r="V43" s="65"/>
      <c r="W43" s="9">
        <v>21262827</v>
      </c>
      <c r="X43" s="9"/>
      <c r="Y43" s="9"/>
      <c r="Z43" s="9"/>
      <c r="AA43" s="9"/>
      <c r="AB43" s="9"/>
      <c r="AC43" s="9"/>
      <c r="AD43" s="206">
        <v>9112640</v>
      </c>
      <c r="AE43" s="9"/>
      <c r="AF43" s="9"/>
      <c r="AG43" s="34">
        <f t="shared" si="6"/>
        <v>30375467</v>
      </c>
      <c r="AH43" s="124">
        <f t="shared" si="7"/>
        <v>0</v>
      </c>
      <c r="AK43" s="154"/>
      <c r="AL43" s="65"/>
      <c r="AM43" s="9"/>
      <c r="AN43" s="9"/>
      <c r="AO43" s="9"/>
      <c r="AP43" s="9"/>
      <c r="AQ43" s="9"/>
      <c r="AR43" s="9"/>
      <c r="AS43" s="9"/>
      <c r="AT43" s="9">
        <v>4813344</v>
      </c>
      <c r="AU43" s="9"/>
      <c r="AV43" s="13">
        <v>4813344</v>
      </c>
      <c r="AW43" s="37">
        <f t="shared" si="8"/>
        <v>9626688</v>
      </c>
      <c r="AX43" s="431">
        <f t="shared" si="5"/>
        <v>20748779</v>
      </c>
    </row>
    <row r="44" spans="1:50" ht="15">
      <c r="A44" s="18">
        <v>11</v>
      </c>
      <c r="B44" s="7" t="s">
        <v>78</v>
      </c>
      <c r="C44" s="147"/>
      <c r="D44" s="13"/>
      <c r="E44" s="142"/>
      <c r="F44" s="143"/>
      <c r="G44" s="160"/>
      <c r="H44" s="354">
        <f t="shared" si="4"/>
        <v>0</v>
      </c>
      <c r="I44" s="35"/>
      <c r="J44" s="9"/>
      <c r="K44" s="9"/>
      <c r="L44" s="9"/>
      <c r="M44" s="9"/>
      <c r="N44" s="9"/>
      <c r="O44" s="9"/>
      <c r="P44" s="206"/>
      <c r="Q44" s="9"/>
      <c r="R44" s="9"/>
      <c r="S44" s="9"/>
      <c r="T44" s="12"/>
      <c r="U44" s="154"/>
      <c r="V44" s="65"/>
      <c r="W44" s="9"/>
      <c r="X44" s="9"/>
      <c r="Y44" s="9"/>
      <c r="Z44" s="9"/>
      <c r="AA44" s="9"/>
      <c r="AB44" s="9"/>
      <c r="AC44" s="9"/>
      <c r="AD44" s="206"/>
      <c r="AE44" s="9"/>
      <c r="AF44" s="9"/>
      <c r="AG44" s="34">
        <f t="shared" si="6"/>
        <v>0</v>
      </c>
      <c r="AH44" s="124">
        <f t="shared" si="7"/>
        <v>0</v>
      </c>
      <c r="AK44" s="154"/>
      <c r="AL44" s="65"/>
      <c r="AM44" s="9"/>
      <c r="AN44" s="9"/>
      <c r="AO44" s="9"/>
      <c r="AP44" s="9"/>
      <c r="AQ44" s="9"/>
      <c r="AR44" s="9"/>
      <c r="AS44" s="9"/>
      <c r="AT44" s="9"/>
      <c r="AU44" s="9"/>
      <c r="AV44" s="13"/>
      <c r="AW44" s="37">
        <f t="shared" si="8"/>
        <v>0</v>
      </c>
      <c r="AX44" s="431">
        <f t="shared" si="5"/>
        <v>0</v>
      </c>
    </row>
    <row r="45" spans="1:50" ht="15">
      <c r="A45" s="573">
        <v>12</v>
      </c>
      <c r="B45" s="619" t="s">
        <v>79</v>
      </c>
      <c r="C45" s="576" t="s">
        <v>228</v>
      </c>
      <c r="D45" s="577">
        <f>16828800</f>
        <v>16828800</v>
      </c>
      <c r="E45" s="578">
        <f>+D45*E31</f>
        <v>11780160</v>
      </c>
      <c r="F45" s="579">
        <f>+D45*F31</f>
        <v>5048640</v>
      </c>
      <c r="G45" s="580"/>
      <c r="H45" s="354">
        <f t="shared" si="4"/>
        <v>16828800</v>
      </c>
      <c r="I45" s="35"/>
      <c r="J45" s="9"/>
      <c r="K45" s="9">
        <v>11780160</v>
      </c>
      <c r="L45" s="9"/>
      <c r="M45" s="9"/>
      <c r="N45" s="9"/>
      <c r="O45" s="9"/>
      <c r="P45" s="206"/>
      <c r="Q45" s="9"/>
      <c r="R45" s="9">
        <v>5048640</v>
      </c>
      <c r="S45" s="9"/>
      <c r="T45" s="12"/>
      <c r="U45" s="154"/>
      <c r="V45" s="65"/>
      <c r="W45" s="9">
        <v>11780160</v>
      </c>
      <c r="X45" s="9"/>
      <c r="Y45" s="9"/>
      <c r="Z45" s="9"/>
      <c r="AA45" s="9"/>
      <c r="AB45" s="9"/>
      <c r="AC45" s="9"/>
      <c r="AD45" s="206"/>
      <c r="AE45" s="9"/>
      <c r="AF45" s="9"/>
      <c r="AG45" s="34">
        <f t="shared" si="6"/>
        <v>11780160</v>
      </c>
      <c r="AH45" s="124">
        <f t="shared" si="7"/>
        <v>5048640</v>
      </c>
      <c r="AK45" s="154"/>
      <c r="AL45" s="65"/>
      <c r="AM45" s="9"/>
      <c r="AN45" s="9"/>
      <c r="AO45" s="9"/>
      <c r="AP45" s="9"/>
      <c r="AQ45" s="9"/>
      <c r="AR45" s="9"/>
      <c r="AS45" s="9"/>
      <c r="AT45" s="9"/>
      <c r="AU45" s="9"/>
      <c r="AV45" s="13"/>
      <c r="AW45" s="37">
        <f t="shared" si="8"/>
        <v>0</v>
      </c>
      <c r="AX45" s="431">
        <f t="shared" si="5"/>
        <v>11780160</v>
      </c>
    </row>
    <row r="46" spans="1:50" ht="15">
      <c r="A46" s="18">
        <v>13</v>
      </c>
      <c r="B46" s="7" t="s">
        <v>80</v>
      </c>
      <c r="C46" s="147"/>
      <c r="D46" s="13"/>
      <c r="E46" s="142"/>
      <c r="F46" s="143"/>
      <c r="G46" s="160"/>
      <c r="H46" s="354">
        <f t="shared" si="4"/>
        <v>0</v>
      </c>
      <c r="I46" s="35"/>
      <c r="J46" s="9"/>
      <c r="K46" s="9"/>
      <c r="L46" s="9"/>
      <c r="M46" s="9"/>
      <c r="N46" s="9"/>
      <c r="O46" s="9"/>
      <c r="P46" s="206"/>
      <c r="Q46" s="9"/>
      <c r="R46" s="9"/>
      <c r="S46" s="9"/>
      <c r="T46" s="12"/>
      <c r="U46" s="269">
        <f>SUM(U34:U45)</f>
        <v>0</v>
      </c>
      <c r="V46" s="67"/>
      <c r="W46" s="67"/>
      <c r="X46" s="67">
        <f>SUM(X34:X45)</f>
        <v>0</v>
      </c>
      <c r="Y46" s="67">
        <f>SUM(Y34:Y45)</f>
        <v>0</v>
      </c>
      <c r="Z46" s="67"/>
      <c r="AA46" s="67"/>
      <c r="AB46" s="67"/>
      <c r="AC46" s="67"/>
      <c r="AD46" s="213"/>
      <c r="AE46" s="67"/>
      <c r="AF46" s="67"/>
      <c r="AG46" s="34">
        <f>SUM(U46:AF46)</f>
        <v>0</v>
      </c>
      <c r="AH46" s="124">
        <f t="shared" si="7"/>
        <v>0</v>
      </c>
      <c r="AK46" s="269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440"/>
      <c r="AW46" s="37">
        <f>SUM(AK46:AV46)</f>
        <v>0</v>
      </c>
      <c r="AX46" s="431">
        <f t="shared" si="5"/>
        <v>0</v>
      </c>
    </row>
    <row r="47" spans="1:50" ht="15">
      <c r="A47" s="18">
        <v>14</v>
      </c>
      <c r="B47" s="7" t="s">
        <v>81</v>
      </c>
      <c r="C47" s="147"/>
      <c r="D47" s="13"/>
      <c r="E47" s="142"/>
      <c r="F47" s="143"/>
      <c r="G47" s="160"/>
      <c r="H47" s="354">
        <f t="shared" si="4"/>
        <v>0</v>
      </c>
      <c r="I47" s="35"/>
      <c r="J47" s="9"/>
      <c r="K47" s="9"/>
      <c r="L47" s="9"/>
      <c r="M47" s="9"/>
      <c r="N47" s="9"/>
      <c r="O47" s="9"/>
      <c r="P47" s="206"/>
      <c r="Q47" s="9"/>
      <c r="R47" s="9"/>
      <c r="S47" s="9"/>
      <c r="T47" s="12"/>
      <c r="U47" s="270"/>
      <c r="V47" s="7"/>
      <c r="W47" s="7"/>
      <c r="X47" s="7"/>
      <c r="Y47" s="7"/>
      <c r="Z47" s="7"/>
      <c r="AA47" s="7"/>
      <c r="AB47" s="7"/>
      <c r="AC47" s="7"/>
      <c r="AD47" s="206"/>
      <c r="AE47" s="7"/>
      <c r="AF47" s="7"/>
      <c r="AG47" s="34">
        <f t="shared" si="6"/>
        <v>0</v>
      </c>
      <c r="AH47" s="124">
        <f t="shared" si="7"/>
        <v>0</v>
      </c>
      <c r="AK47" s="270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441"/>
      <c r="AW47" s="37">
        <f t="shared" ref="AW47:AW77" si="9">SUM(AK47:AV47)</f>
        <v>0</v>
      </c>
      <c r="AX47" s="431">
        <f t="shared" si="5"/>
        <v>0</v>
      </c>
    </row>
    <row r="48" spans="1:50" ht="15">
      <c r="A48" s="18">
        <v>15</v>
      </c>
      <c r="B48" s="7" t="s">
        <v>82</v>
      </c>
      <c r="C48" s="147"/>
      <c r="D48" s="13"/>
      <c r="E48" s="142"/>
      <c r="F48" s="143"/>
      <c r="G48" s="160"/>
      <c r="H48" s="354">
        <f t="shared" si="4"/>
        <v>0</v>
      </c>
      <c r="I48" s="35"/>
      <c r="J48" s="9"/>
      <c r="K48" s="9"/>
      <c r="L48" s="9"/>
      <c r="M48" s="9"/>
      <c r="N48" s="9"/>
      <c r="O48" s="9"/>
      <c r="P48" s="206"/>
      <c r="Q48" s="9"/>
      <c r="R48" s="9"/>
      <c r="S48" s="9"/>
      <c r="T48" s="12"/>
      <c r="U48" s="270"/>
      <c r="V48" s="7"/>
      <c r="W48" s="7"/>
      <c r="X48" s="7"/>
      <c r="Y48" s="7"/>
      <c r="Z48" s="7"/>
      <c r="AA48" s="7"/>
      <c r="AB48" s="7"/>
      <c r="AC48" s="7"/>
      <c r="AD48" s="206"/>
      <c r="AE48" s="7"/>
      <c r="AF48" s="7"/>
      <c r="AG48" s="34">
        <f t="shared" si="6"/>
        <v>0</v>
      </c>
      <c r="AH48" s="124">
        <f t="shared" si="7"/>
        <v>0</v>
      </c>
      <c r="AK48" s="270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441"/>
      <c r="AW48" s="37">
        <f t="shared" si="9"/>
        <v>0</v>
      </c>
      <c r="AX48" s="431">
        <f t="shared" si="5"/>
        <v>0</v>
      </c>
    </row>
    <row r="49" spans="1:50" ht="15">
      <c r="A49" s="18">
        <v>16</v>
      </c>
      <c r="B49" s="7" t="s">
        <v>83</v>
      </c>
      <c r="C49" s="147"/>
      <c r="D49" s="13"/>
      <c r="E49" s="142"/>
      <c r="F49" s="143"/>
      <c r="G49" s="160"/>
      <c r="H49" s="354">
        <f t="shared" si="4"/>
        <v>0</v>
      </c>
      <c r="I49" s="35"/>
      <c r="J49" s="9"/>
      <c r="K49" s="9"/>
      <c r="L49" s="9"/>
      <c r="M49" s="9"/>
      <c r="N49" s="9"/>
      <c r="O49" s="9"/>
      <c r="P49" s="206"/>
      <c r="Q49" s="9"/>
      <c r="R49" s="9"/>
      <c r="S49" s="9"/>
      <c r="T49" s="12"/>
      <c r="U49" s="270"/>
      <c r="V49" s="7"/>
      <c r="W49" s="7"/>
      <c r="X49" s="7"/>
      <c r="Y49" s="7"/>
      <c r="Z49" s="7"/>
      <c r="AA49" s="7"/>
      <c r="AB49" s="7"/>
      <c r="AC49" s="7"/>
      <c r="AD49" s="206"/>
      <c r="AE49" s="7"/>
      <c r="AF49" s="7"/>
      <c r="AG49" s="34">
        <f t="shared" si="6"/>
        <v>0</v>
      </c>
      <c r="AH49" s="124">
        <f t="shared" si="7"/>
        <v>0</v>
      </c>
      <c r="AK49" s="270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441"/>
      <c r="AW49" s="37">
        <f t="shared" si="9"/>
        <v>0</v>
      </c>
      <c r="AX49" s="431">
        <f t="shared" si="5"/>
        <v>0</v>
      </c>
    </row>
    <row r="50" spans="1:50" ht="15">
      <c r="A50" s="18">
        <v>17</v>
      </c>
      <c r="B50" s="7" t="s">
        <v>95</v>
      </c>
      <c r="C50" s="147">
        <v>1232</v>
      </c>
      <c r="D50" s="13">
        <v>0</v>
      </c>
      <c r="E50" s="142">
        <f>+D50*$E$31</f>
        <v>0</v>
      </c>
      <c r="F50" s="143">
        <f>+D50*$F$31</f>
        <v>0</v>
      </c>
      <c r="G50" s="160"/>
      <c r="H50" s="354">
        <f t="shared" si="4"/>
        <v>0</v>
      </c>
      <c r="I50" s="35"/>
      <c r="J50" s="9"/>
      <c r="K50" s="9"/>
      <c r="L50" s="9"/>
      <c r="M50" s="9"/>
      <c r="N50" s="9"/>
      <c r="O50" s="9"/>
      <c r="P50" s="206"/>
      <c r="Q50" s="9"/>
      <c r="R50" s="9"/>
      <c r="S50" s="9"/>
      <c r="T50" s="12"/>
      <c r="U50" s="270"/>
      <c r="V50" s="7"/>
      <c r="W50" s="7"/>
      <c r="X50" s="7"/>
      <c r="Y50" s="7"/>
      <c r="Z50" s="7"/>
      <c r="AA50" s="7"/>
      <c r="AB50" s="7"/>
      <c r="AC50" s="7"/>
      <c r="AD50" s="206"/>
      <c r="AE50" s="7"/>
      <c r="AF50" s="7"/>
      <c r="AG50" s="34">
        <f t="shared" si="6"/>
        <v>0</v>
      </c>
      <c r="AH50" s="124">
        <f t="shared" si="7"/>
        <v>0</v>
      </c>
      <c r="AK50" s="270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441"/>
      <c r="AW50" s="37">
        <f t="shared" si="9"/>
        <v>0</v>
      </c>
      <c r="AX50" s="431">
        <f t="shared" si="5"/>
        <v>0</v>
      </c>
    </row>
    <row r="51" spans="1:50" ht="15">
      <c r="A51" s="18">
        <v>18</v>
      </c>
      <c r="B51" s="7" t="s">
        <v>96</v>
      </c>
      <c r="C51" s="147">
        <v>1232</v>
      </c>
      <c r="D51" s="13">
        <v>0</v>
      </c>
      <c r="E51" s="142">
        <f>+D51*$E$31</f>
        <v>0</v>
      </c>
      <c r="F51" s="143">
        <f>+D51*$F$31</f>
        <v>0</v>
      </c>
      <c r="G51" s="160"/>
      <c r="H51" s="354">
        <f t="shared" si="4"/>
        <v>0</v>
      </c>
      <c r="I51" s="35"/>
      <c r="J51" s="9"/>
      <c r="K51" s="9"/>
      <c r="L51" s="9"/>
      <c r="M51" s="9"/>
      <c r="N51" s="9"/>
      <c r="O51" s="9"/>
      <c r="P51" s="206"/>
      <c r="Q51" s="9"/>
      <c r="R51" s="9"/>
      <c r="S51" s="9"/>
      <c r="T51" s="12"/>
      <c r="U51" s="270"/>
      <c r="V51" s="7"/>
      <c r="W51" s="7"/>
      <c r="X51" s="7"/>
      <c r="Y51" s="7"/>
      <c r="Z51" s="7"/>
      <c r="AA51" s="7"/>
      <c r="AB51" s="7"/>
      <c r="AC51" s="7"/>
      <c r="AD51" s="206"/>
      <c r="AE51" s="7"/>
      <c r="AF51" s="7"/>
      <c r="AG51" s="34">
        <f t="shared" si="6"/>
        <v>0</v>
      </c>
      <c r="AH51" s="124">
        <f t="shared" si="7"/>
        <v>0</v>
      </c>
      <c r="AK51" s="270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441"/>
      <c r="AW51" s="37">
        <f t="shared" si="9"/>
        <v>0</v>
      </c>
      <c r="AX51" s="431">
        <f t="shared" si="5"/>
        <v>0</v>
      </c>
    </row>
    <row r="52" spans="1:50" ht="15">
      <c r="A52" s="18">
        <v>19</v>
      </c>
      <c r="B52" s="7" t="s">
        <v>97</v>
      </c>
      <c r="C52" s="147">
        <v>1232</v>
      </c>
      <c r="D52" s="13">
        <v>10548330</v>
      </c>
      <c r="E52" s="142">
        <f>+D52*$E$31</f>
        <v>7383830.9999999991</v>
      </c>
      <c r="F52" s="143">
        <f>+D52*$F$31</f>
        <v>3164499</v>
      </c>
      <c r="G52" s="160"/>
      <c r="H52" s="354">
        <f t="shared" si="4"/>
        <v>10548330</v>
      </c>
      <c r="I52" s="35"/>
      <c r="J52" s="9"/>
      <c r="K52" s="9">
        <v>7383831</v>
      </c>
      <c r="L52" s="9"/>
      <c r="M52" s="9"/>
      <c r="N52" s="9"/>
      <c r="O52" s="9"/>
      <c r="P52" s="206"/>
      <c r="Q52" s="9"/>
      <c r="R52" s="9">
        <v>1388215</v>
      </c>
      <c r="S52" s="9">
        <v>1776284</v>
      </c>
      <c r="T52" s="12"/>
      <c r="U52" s="270"/>
      <c r="V52" s="7"/>
      <c r="W52" s="196">
        <v>7383831</v>
      </c>
      <c r="X52" s="7"/>
      <c r="Y52" s="7"/>
      <c r="Z52" s="7"/>
      <c r="AA52" s="7"/>
      <c r="AB52" s="7"/>
      <c r="AC52" s="7"/>
      <c r="AD52" s="206"/>
      <c r="AE52" s="7"/>
      <c r="AF52" s="7"/>
      <c r="AG52" s="34">
        <f t="shared" si="6"/>
        <v>7383831</v>
      </c>
      <c r="AH52" s="124">
        <f t="shared" si="7"/>
        <v>3164499</v>
      </c>
      <c r="AK52" s="270"/>
      <c r="AL52" s="7"/>
      <c r="AM52" s="196"/>
      <c r="AN52" s="7"/>
      <c r="AO52" s="7"/>
      <c r="AP52" s="7"/>
      <c r="AQ52" s="7"/>
      <c r="AR52" s="7"/>
      <c r="AS52" s="7"/>
      <c r="AT52" s="7"/>
      <c r="AU52" s="7"/>
      <c r="AV52" s="441"/>
      <c r="AW52" s="37">
        <f t="shared" si="9"/>
        <v>0</v>
      </c>
      <c r="AX52" s="431">
        <f t="shared" si="5"/>
        <v>7383831</v>
      </c>
    </row>
    <row r="53" spans="1:50" ht="15">
      <c r="A53" s="18">
        <v>20</v>
      </c>
      <c r="B53" s="7" t="s">
        <v>98</v>
      </c>
      <c r="C53" s="147">
        <v>1232</v>
      </c>
      <c r="D53" s="13">
        <v>0</v>
      </c>
      <c r="E53" s="142">
        <f>+D53*$E$31</f>
        <v>0</v>
      </c>
      <c r="F53" s="143">
        <f>+D53*$F$31</f>
        <v>0</v>
      </c>
      <c r="G53" s="160"/>
      <c r="H53" s="354">
        <f t="shared" si="4"/>
        <v>0</v>
      </c>
      <c r="I53" s="35"/>
      <c r="J53" s="9"/>
      <c r="K53" s="9"/>
      <c r="L53" s="9"/>
      <c r="M53" s="9"/>
      <c r="N53" s="9"/>
      <c r="O53" s="9"/>
      <c r="P53" s="206"/>
      <c r="Q53" s="9"/>
      <c r="R53" s="9"/>
      <c r="S53" s="9"/>
      <c r="T53" s="12"/>
      <c r="U53" s="270"/>
      <c r="V53" s="7"/>
      <c r="W53" s="7"/>
      <c r="X53" s="7"/>
      <c r="Y53" s="7"/>
      <c r="Z53" s="7"/>
      <c r="AA53" s="7"/>
      <c r="AB53" s="7"/>
      <c r="AC53" s="7"/>
      <c r="AD53" s="206"/>
      <c r="AE53" s="7"/>
      <c r="AF53" s="7"/>
      <c r="AG53" s="34">
        <f t="shared" si="6"/>
        <v>0</v>
      </c>
      <c r="AH53" s="124">
        <f t="shared" si="7"/>
        <v>0</v>
      </c>
      <c r="AK53" s="270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441"/>
      <c r="AW53" s="37">
        <f t="shared" si="9"/>
        <v>0</v>
      </c>
      <c r="AX53" s="431">
        <f t="shared" si="5"/>
        <v>0</v>
      </c>
    </row>
    <row r="54" spans="1:50" ht="15">
      <c r="A54" s="573">
        <v>21</v>
      </c>
      <c r="B54" s="575" t="s">
        <v>84</v>
      </c>
      <c r="C54" s="576">
        <v>1915</v>
      </c>
      <c r="D54" s="577">
        <v>12338246</v>
      </c>
      <c r="E54" s="578">
        <f>+D54*$E$31</f>
        <v>8636772.1999999993</v>
      </c>
      <c r="F54" s="579">
        <f>+D54*$F$31</f>
        <v>3701473.8</v>
      </c>
      <c r="G54" s="580"/>
      <c r="H54" s="354">
        <f t="shared" si="4"/>
        <v>12338246</v>
      </c>
      <c r="I54" s="35"/>
      <c r="J54" s="9"/>
      <c r="K54" s="9"/>
      <c r="L54" s="9">
        <v>8636772</v>
      </c>
      <c r="M54" s="9"/>
      <c r="N54" s="9"/>
      <c r="O54" s="9"/>
      <c r="P54" s="206"/>
      <c r="Q54" s="9"/>
      <c r="R54" s="9">
        <v>3701474</v>
      </c>
      <c r="S54" s="9"/>
      <c r="T54" s="12"/>
      <c r="U54" s="270"/>
      <c r="V54" s="7"/>
      <c r="W54" s="7"/>
      <c r="X54" s="206">
        <v>8636772</v>
      </c>
      <c r="Y54" s="7"/>
      <c r="Z54" s="7"/>
      <c r="AA54" s="7"/>
      <c r="AB54" s="7"/>
      <c r="AC54" s="7"/>
      <c r="AD54" s="206">
        <v>3701474</v>
      </c>
      <c r="AE54" s="7"/>
      <c r="AF54" s="7"/>
      <c r="AG54" s="34">
        <f t="shared" si="6"/>
        <v>12338246</v>
      </c>
      <c r="AH54" s="124">
        <f t="shared" si="7"/>
        <v>0</v>
      </c>
      <c r="AK54" s="270"/>
      <c r="AL54" s="7"/>
      <c r="AM54" s="7"/>
      <c r="AN54" s="206"/>
      <c r="AO54" s="7"/>
      <c r="AP54" s="7"/>
      <c r="AQ54" s="7"/>
      <c r="AR54" s="7"/>
      <c r="AS54" s="7"/>
      <c r="AT54" s="7"/>
      <c r="AU54" s="7"/>
      <c r="AV54" s="441"/>
      <c r="AW54" s="37">
        <f t="shared" si="9"/>
        <v>0</v>
      </c>
      <c r="AX54" s="431">
        <f t="shared" si="5"/>
        <v>12338246</v>
      </c>
    </row>
    <row r="55" spans="1:50" ht="15">
      <c r="A55" s="18">
        <v>22</v>
      </c>
      <c r="B55" s="7" t="s">
        <v>85</v>
      </c>
      <c r="C55" s="147"/>
      <c r="D55" s="13"/>
      <c r="E55" s="142"/>
      <c r="F55" s="143"/>
      <c r="G55" s="160"/>
      <c r="H55" s="354">
        <f t="shared" si="4"/>
        <v>0</v>
      </c>
      <c r="I55" s="35"/>
      <c r="J55" s="9"/>
      <c r="K55" s="9"/>
      <c r="L55" s="9"/>
      <c r="M55" s="9"/>
      <c r="N55" s="9"/>
      <c r="O55" s="9"/>
      <c r="P55" s="206"/>
      <c r="Q55" s="9"/>
      <c r="R55" s="9"/>
      <c r="S55" s="9"/>
      <c r="T55" s="12"/>
      <c r="U55" s="270"/>
      <c r="V55" s="7"/>
      <c r="W55" s="7"/>
      <c r="X55" s="7"/>
      <c r="Y55" s="7"/>
      <c r="Z55" s="7"/>
      <c r="AA55" s="7"/>
      <c r="AB55" s="7"/>
      <c r="AC55" s="7"/>
      <c r="AD55" s="206"/>
      <c r="AE55" s="7"/>
      <c r="AF55" s="7"/>
      <c r="AG55" s="34">
        <f t="shared" si="6"/>
        <v>0</v>
      </c>
      <c r="AH55" s="124">
        <f t="shared" si="7"/>
        <v>0</v>
      </c>
      <c r="AK55" s="270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441"/>
      <c r="AW55" s="37">
        <f t="shared" si="9"/>
        <v>0</v>
      </c>
      <c r="AX55" s="431">
        <f t="shared" si="5"/>
        <v>0</v>
      </c>
    </row>
    <row r="56" spans="1:50" ht="15">
      <c r="A56" s="18">
        <v>23</v>
      </c>
      <c r="B56" s="7" t="s">
        <v>86</v>
      </c>
      <c r="C56" s="147"/>
      <c r="D56" s="13"/>
      <c r="E56" s="142"/>
      <c r="F56" s="143"/>
      <c r="G56" s="160"/>
      <c r="H56" s="354">
        <f t="shared" si="4"/>
        <v>0</v>
      </c>
      <c r="I56" s="35"/>
      <c r="J56" s="9"/>
      <c r="K56" s="9"/>
      <c r="L56" s="9"/>
      <c r="M56" s="9"/>
      <c r="N56" s="9"/>
      <c r="O56" s="9"/>
      <c r="P56" s="206"/>
      <c r="Q56" s="9"/>
      <c r="R56" s="9"/>
      <c r="S56" s="9"/>
      <c r="T56" s="12"/>
      <c r="U56" s="270"/>
      <c r="V56" s="7"/>
      <c r="W56" s="7"/>
      <c r="X56" s="7"/>
      <c r="Y56" s="7"/>
      <c r="Z56" s="7"/>
      <c r="AA56" s="7"/>
      <c r="AB56" s="7"/>
      <c r="AC56" s="7"/>
      <c r="AD56" s="206"/>
      <c r="AE56" s="7"/>
      <c r="AF56" s="7"/>
      <c r="AG56" s="34">
        <f t="shared" si="6"/>
        <v>0</v>
      </c>
      <c r="AH56" s="124">
        <f t="shared" si="7"/>
        <v>0</v>
      </c>
      <c r="AK56" s="270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441"/>
      <c r="AW56" s="37">
        <f t="shared" si="9"/>
        <v>0</v>
      </c>
      <c r="AX56" s="431">
        <f t="shared" si="5"/>
        <v>0</v>
      </c>
    </row>
    <row r="57" spans="1:50" ht="15">
      <c r="A57" s="18">
        <v>24</v>
      </c>
      <c r="B57" s="7" t="s">
        <v>87</v>
      </c>
      <c r="C57" s="147"/>
      <c r="D57" s="13"/>
      <c r="E57" s="142"/>
      <c r="F57" s="143"/>
      <c r="G57" s="160"/>
      <c r="H57" s="354">
        <f t="shared" si="4"/>
        <v>0</v>
      </c>
      <c r="I57" s="35"/>
      <c r="J57" s="9"/>
      <c r="K57" s="9"/>
      <c r="L57" s="9"/>
      <c r="M57" s="9"/>
      <c r="N57" s="9"/>
      <c r="O57" s="9"/>
      <c r="P57" s="206"/>
      <c r="Q57" s="9"/>
      <c r="R57" s="9"/>
      <c r="S57" s="9"/>
      <c r="T57" s="12"/>
      <c r="U57" s="270"/>
      <c r="V57" s="7"/>
      <c r="W57" s="7"/>
      <c r="X57" s="7"/>
      <c r="Y57" s="7"/>
      <c r="Z57" s="7"/>
      <c r="AA57" s="7"/>
      <c r="AB57" s="7"/>
      <c r="AC57" s="7"/>
      <c r="AD57" s="206"/>
      <c r="AE57" s="7"/>
      <c r="AF57" s="7"/>
      <c r="AG57" s="34">
        <f t="shared" si="6"/>
        <v>0</v>
      </c>
      <c r="AH57" s="124">
        <f t="shared" si="7"/>
        <v>0</v>
      </c>
      <c r="AK57" s="270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441"/>
      <c r="AW57" s="37">
        <f t="shared" si="9"/>
        <v>0</v>
      </c>
      <c r="AX57" s="431">
        <f t="shared" si="5"/>
        <v>0</v>
      </c>
    </row>
    <row r="58" spans="1:50" ht="29.25">
      <c r="A58" s="18">
        <v>25</v>
      </c>
      <c r="B58" s="10" t="s">
        <v>109</v>
      </c>
      <c r="C58" s="147"/>
      <c r="D58" s="13"/>
      <c r="E58" s="142"/>
      <c r="F58" s="143"/>
      <c r="G58" s="160"/>
      <c r="H58" s="354">
        <f t="shared" si="4"/>
        <v>0</v>
      </c>
      <c r="I58" s="35"/>
      <c r="J58" s="9"/>
      <c r="K58" s="9"/>
      <c r="L58" s="9"/>
      <c r="M58" s="9"/>
      <c r="N58" s="9"/>
      <c r="O58" s="9"/>
      <c r="P58" s="206"/>
      <c r="Q58" s="9"/>
      <c r="R58" s="9"/>
      <c r="S58" s="9"/>
      <c r="T58" s="12"/>
      <c r="U58" s="270"/>
      <c r="V58" s="7"/>
      <c r="W58" s="7"/>
      <c r="X58" s="7"/>
      <c r="Y58" s="7"/>
      <c r="Z58" s="7"/>
      <c r="AA58" s="7"/>
      <c r="AB58" s="7"/>
      <c r="AC58" s="7"/>
      <c r="AD58" s="206"/>
      <c r="AE58" s="7"/>
      <c r="AF58" s="7"/>
      <c r="AG58" s="34">
        <f t="shared" si="6"/>
        <v>0</v>
      </c>
      <c r="AH58" s="124">
        <f t="shared" si="7"/>
        <v>0</v>
      </c>
      <c r="AK58" s="270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441"/>
      <c r="AW58" s="37">
        <f t="shared" si="9"/>
        <v>0</v>
      </c>
      <c r="AX58" s="431">
        <f t="shared" si="5"/>
        <v>0</v>
      </c>
    </row>
    <row r="59" spans="1:50" ht="15">
      <c r="A59" s="18">
        <v>26</v>
      </c>
      <c r="B59" s="7" t="s">
        <v>88</v>
      </c>
      <c r="C59" s="147"/>
      <c r="D59" s="13"/>
      <c r="E59" s="142"/>
      <c r="F59" s="143"/>
      <c r="G59" s="160"/>
      <c r="H59" s="354">
        <f t="shared" si="4"/>
        <v>0</v>
      </c>
      <c r="I59" s="35"/>
      <c r="J59" s="9"/>
      <c r="K59" s="9"/>
      <c r="L59" s="9"/>
      <c r="M59" s="9"/>
      <c r="N59" s="9"/>
      <c r="O59" s="9"/>
      <c r="P59" s="206"/>
      <c r="Q59" s="9"/>
      <c r="R59" s="9"/>
      <c r="S59" s="9"/>
      <c r="T59" s="12"/>
      <c r="U59" s="270"/>
      <c r="V59" s="7"/>
      <c r="W59" s="7"/>
      <c r="X59" s="7"/>
      <c r="Y59" s="7"/>
      <c r="Z59" s="7"/>
      <c r="AA59" s="7"/>
      <c r="AB59" s="7"/>
      <c r="AC59" s="7"/>
      <c r="AD59" s="206"/>
      <c r="AE59" s="7"/>
      <c r="AF59" s="7"/>
      <c r="AG59" s="34">
        <f t="shared" si="6"/>
        <v>0</v>
      </c>
      <c r="AH59" s="124">
        <f t="shared" si="7"/>
        <v>0</v>
      </c>
      <c r="AK59" s="270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441"/>
      <c r="AW59" s="37">
        <f t="shared" si="9"/>
        <v>0</v>
      </c>
      <c r="AX59" s="431">
        <f t="shared" si="5"/>
        <v>0</v>
      </c>
    </row>
    <row r="60" spans="1:50" ht="15">
      <c r="A60" s="18">
        <v>27</v>
      </c>
      <c r="B60" s="7" t="s">
        <v>89</v>
      </c>
      <c r="C60" s="147"/>
      <c r="D60" s="13"/>
      <c r="E60" s="142"/>
      <c r="F60" s="143"/>
      <c r="G60" s="160"/>
      <c r="H60" s="354">
        <f t="shared" si="4"/>
        <v>0</v>
      </c>
      <c r="I60" s="35"/>
      <c r="J60" s="9"/>
      <c r="K60" s="9"/>
      <c r="L60" s="9"/>
      <c r="M60" s="9"/>
      <c r="N60" s="9"/>
      <c r="O60" s="9"/>
      <c r="P60" s="206"/>
      <c r="Q60" s="9"/>
      <c r="R60" s="9"/>
      <c r="S60" s="9"/>
      <c r="T60" s="12"/>
      <c r="U60" s="270"/>
      <c r="V60" s="7"/>
      <c r="W60" s="7"/>
      <c r="X60" s="7"/>
      <c r="Y60" s="7"/>
      <c r="Z60" s="7"/>
      <c r="AA60" s="7"/>
      <c r="AB60" s="7"/>
      <c r="AC60" s="7"/>
      <c r="AD60" s="206"/>
      <c r="AE60" s="7"/>
      <c r="AF60" s="7"/>
      <c r="AG60" s="34">
        <f t="shared" si="6"/>
        <v>0</v>
      </c>
      <c r="AH60" s="124">
        <f t="shared" si="7"/>
        <v>0</v>
      </c>
      <c r="AK60" s="270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441"/>
      <c r="AW60" s="37">
        <f t="shared" si="9"/>
        <v>0</v>
      </c>
      <c r="AX60" s="431">
        <f t="shared" si="5"/>
        <v>0</v>
      </c>
    </row>
    <row r="61" spans="1:50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54">
        <f t="shared" si="4"/>
        <v>0</v>
      </c>
      <c r="I61" s="35"/>
      <c r="J61" s="9"/>
      <c r="K61" s="9"/>
      <c r="L61" s="9"/>
      <c r="M61" s="9"/>
      <c r="N61" s="9"/>
      <c r="O61" s="9"/>
      <c r="P61" s="206"/>
      <c r="Q61" s="9"/>
      <c r="R61" s="9"/>
      <c r="S61" s="9"/>
      <c r="T61" s="12"/>
      <c r="U61" s="270"/>
      <c r="V61" s="7"/>
      <c r="W61" s="7"/>
      <c r="X61" s="7"/>
      <c r="Y61" s="7"/>
      <c r="Z61" s="7"/>
      <c r="AA61" s="7"/>
      <c r="AB61" s="7"/>
      <c r="AC61" s="7"/>
      <c r="AD61" s="206"/>
      <c r="AE61" s="7"/>
      <c r="AF61" s="7"/>
      <c r="AG61" s="34">
        <f t="shared" si="6"/>
        <v>0</v>
      </c>
      <c r="AH61" s="124">
        <f t="shared" si="7"/>
        <v>0</v>
      </c>
      <c r="AK61" s="270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441"/>
      <c r="AW61" s="37">
        <f t="shared" si="9"/>
        <v>0</v>
      </c>
      <c r="AX61" s="431">
        <f t="shared" si="5"/>
        <v>0</v>
      </c>
    </row>
    <row r="62" spans="1:50" ht="15">
      <c r="A62" s="18">
        <v>29</v>
      </c>
      <c r="B62" s="7" t="s">
        <v>103</v>
      </c>
      <c r="C62" s="147"/>
      <c r="D62" s="13"/>
      <c r="E62" s="142"/>
      <c r="F62" s="143"/>
      <c r="G62" s="160"/>
      <c r="H62" s="354">
        <f t="shared" si="4"/>
        <v>0</v>
      </c>
      <c r="I62" s="35"/>
      <c r="J62" s="9"/>
      <c r="K62" s="9"/>
      <c r="L62" s="9"/>
      <c r="M62" s="9"/>
      <c r="N62" s="9"/>
      <c r="O62" s="9"/>
      <c r="P62" s="206"/>
      <c r="Q62" s="9"/>
      <c r="R62" s="9"/>
      <c r="S62" s="9"/>
      <c r="T62" s="12"/>
      <c r="U62" s="270"/>
      <c r="V62" s="7"/>
      <c r="W62" s="7"/>
      <c r="X62" s="7"/>
      <c r="Y62" s="7"/>
      <c r="Z62" s="7"/>
      <c r="AA62" s="7"/>
      <c r="AB62" s="7"/>
      <c r="AC62" s="7"/>
      <c r="AD62" s="206"/>
      <c r="AE62" s="7"/>
      <c r="AF62" s="7"/>
      <c r="AG62" s="34">
        <f t="shared" si="6"/>
        <v>0</v>
      </c>
      <c r="AH62" s="124">
        <f t="shared" si="7"/>
        <v>0</v>
      </c>
      <c r="AK62" s="270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441"/>
      <c r="AW62" s="37">
        <f t="shared" si="9"/>
        <v>0</v>
      </c>
      <c r="AX62" s="431">
        <f t="shared" si="5"/>
        <v>0</v>
      </c>
    </row>
    <row r="63" spans="1:50" ht="15">
      <c r="A63" s="18">
        <v>30</v>
      </c>
      <c r="B63" s="7" t="s">
        <v>90</v>
      </c>
      <c r="C63" s="147"/>
      <c r="D63" s="13"/>
      <c r="E63" s="142"/>
      <c r="F63" s="143"/>
      <c r="G63" s="160"/>
      <c r="H63" s="354">
        <f t="shared" si="4"/>
        <v>0</v>
      </c>
      <c r="I63" s="35"/>
      <c r="J63" s="9"/>
      <c r="K63" s="9"/>
      <c r="L63" s="9"/>
      <c r="M63" s="9"/>
      <c r="N63" s="9"/>
      <c r="O63" s="9"/>
      <c r="P63" s="206"/>
      <c r="Q63" s="9"/>
      <c r="R63" s="9"/>
      <c r="S63" s="9"/>
      <c r="T63" s="12"/>
      <c r="U63" s="270"/>
      <c r="V63" s="7"/>
      <c r="W63" s="7"/>
      <c r="X63" s="7"/>
      <c r="Y63" s="7"/>
      <c r="Z63" s="7"/>
      <c r="AA63" s="7"/>
      <c r="AB63" s="7"/>
      <c r="AC63" s="7"/>
      <c r="AD63" s="206"/>
      <c r="AE63" s="7"/>
      <c r="AF63" s="7"/>
      <c r="AG63" s="34">
        <f t="shared" si="6"/>
        <v>0</v>
      </c>
      <c r="AH63" s="124">
        <f t="shared" si="7"/>
        <v>0</v>
      </c>
      <c r="AK63" s="270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441"/>
      <c r="AW63" s="37">
        <f t="shared" si="9"/>
        <v>0</v>
      </c>
      <c r="AX63" s="431">
        <f t="shared" si="5"/>
        <v>0</v>
      </c>
    </row>
    <row r="64" spans="1:50" ht="15">
      <c r="A64" s="18">
        <v>31</v>
      </c>
      <c r="B64" s="7" t="s">
        <v>91</v>
      </c>
      <c r="C64" s="147"/>
      <c r="D64" s="13"/>
      <c r="E64" s="142"/>
      <c r="F64" s="143"/>
      <c r="G64" s="160"/>
      <c r="H64" s="354">
        <f t="shared" si="4"/>
        <v>0</v>
      </c>
      <c r="I64" s="35"/>
      <c r="J64" s="9"/>
      <c r="K64" s="9"/>
      <c r="L64" s="9"/>
      <c r="M64" s="9"/>
      <c r="N64" s="9"/>
      <c r="O64" s="9"/>
      <c r="P64" s="206"/>
      <c r="Q64" s="9"/>
      <c r="R64" s="9"/>
      <c r="S64" s="9"/>
      <c r="T64" s="12"/>
      <c r="U64" s="270"/>
      <c r="V64" s="7"/>
      <c r="W64" s="7"/>
      <c r="X64" s="7"/>
      <c r="Y64" s="7"/>
      <c r="Z64" s="7"/>
      <c r="AA64" s="7"/>
      <c r="AB64" s="7"/>
      <c r="AC64" s="7"/>
      <c r="AD64" s="206"/>
      <c r="AE64" s="7"/>
      <c r="AF64" s="7"/>
      <c r="AG64" s="34">
        <f t="shared" si="6"/>
        <v>0</v>
      </c>
      <c r="AH64" s="124">
        <f t="shared" si="7"/>
        <v>0</v>
      </c>
      <c r="AK64" s="270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441"/>
      <c r="AW64" s="37">
        <f t="shared" si="9"/>
        <v>0</v>
      </c>
      <c r="AX64" s="431">
        <f t="shared" si="5"/>
        <v>0</v>
      </c>
    </row>
    <row r="65" spans="1:50" ht="15">
      <c r="A65" s="573">
        <v>32</v>
      </c>
      <c r="B65" s="575" t="s">
        <v>92</v>
      </c>
      <c r="C65" s="576">
        <v>1373</v>
      </c>
      <c r="D65" s="577">
        <v>3670800</v>
      </c>
      <c r="E65" s="578">
        <f>+D65*E31</f>
        <v>2569560</v>
      </c>
      <c r="F65" s="579">
        <f>+D65*F31</f>
        <v>1101240</v>
      </c>
      <c r="G65" s="580"/>
      <c r="H65" s="354">
        <f t="shared" si="4"/>
        <v>3670800</v>
      </c>
      <c r="I65" s="35"/>
      <c r="J65" s="9"/>
      <c r="K65" s="9">
        <v>2569560</v>
      </c>
      <c r="L65" s="9"/>
      <c r="M65" s="9"/>
      <c r="N65" s="9"/>
      <c r="O65" s="9"/>
      <c r="P65" s="206"/>
      <c r="Q65" s="9"/>
      <c r="R65" s="9">
        <v>1101240</v>
      </c>
      <c r="S65" s="9"/>
      <c r="T65" s="12"/>
      <c r="U65" s="270"/>
      <c r="V65" s="7"/>
      <c r="W65" s="7">
        <v>2569560</v>
      </c>
      <c r="X65" s="7"/>
      <c r="Y65" s="7"/>
      <c r="Z65" s="7"/>
      <c r="AA65" s="7"/>
      <c r="AB65" s="7"/>
      <c r="AC65" s="7"/>
      <c r="AD65" s="206"/>
      <c r="AE65" s="7"/>
      <c r="AF65" s="7"/>
      <c r="AG65" s="34">
        <f t="shared" si="6"/>
        <v>2569560</v>
      </c>
      <c r="AH65" s="124">
        <f t="shared" si="7"/>
        <v>1101240</v>
      </c>
      <c r="AK65" s="270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441"/>
      <c r="AW65" s="37">
        <f t="shared" si="9"/>
        <v>0</v>
      </c>
      <c r="AX65" s="431">
        <f t="shared" si="5"/>
        <v>2569560</v>
      </c>
    </row>
    <row r="66" spans="1:50" ht="15">
      <c r="A66" s="18">
        <v>33</v>
      </c>
      <c r="B66" s="52" t="s">
        <v>107</v>
      </c>
      <c r="C66" s="148"/>
      <c r="D66" s="43"/>
      <c r="E66" s="174"/>
      <c r="F66" s="175"/>
      <c r="G66" s="176"/>
      <c r="H66" s="354">
        <f t="shared" si="4"/>
        <v>0</v>
      </c>
      <c r="I66" s="35"/>
      <c r="J66" s="9"/>
      <c r="K66" s="9"/>
      <c r="L66" s="9"/>
      <c r="M66" s="9"/>
      <c r="N66" s="9"/>
      <c r="O66" s="9"/>
      <c r="P66" s="206"/>
      <c r="Q66" s="9"/>
      <c r="R66" s="9"/>
      <c r="S66" s="9"/>
      <c r="T66" s="12"/>
      <c r="U66" s="271"/>
      <c r="V66" s="52"/>
      <c r="W66" s="52"/>
      <c r="X66" s="52"/>
      <c r="Y66" s="52"/>
      <c r="Z66" s="52"/>
      <c r="AA66" s="52"/>
      <c r="AB66" s="52"/>
      <c r="AC66" s="52"/>
      <c r="AD66" s="210"/>
      <c r="AE66" s="52"/>
      <c r="AF66" s="52"/>
      <c r="AG66" s="34">
        <f t="shared" si="6"/>
        <v>0</v>
      </c>
      <c r="AH66" s="124">
        <f t="shared" si="7"/>
        <v>0</v>
      </c>
      <c r="AK66" s="271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442"/>
      <c r="AW66" s="37">
        <f t="shared" si="9"/>
        <v>0</v>
      </c>
      <c r="AX66" s="431">
        <f t="shared" si="5"/>
        <v>0</v>
      </c>
    </row>
    <row r="67" spans="1:50" ht="15">
      <c r="A67" s="573">
        <v>34</v>
      </c>
      <c r="B67" s="568" t="s">
        <v>180</v>
      </c>
      <c r="C67" s="569">
        <v>5967</v>
      </c>
      <c r="D67" s="567">
        <v>262296</v>
      </c>
      <c r="E67" s="563">
        <f>+D67</f>
        <v>262296</v>
      </c>
      <c r="F67" s="564"/>
      <c r="G67" s="565"/>
      <c r="H67" s="354">
        <f t="shared" si="4"/>
        <v>262296</v>
      </c>
      <c r="I67" s="35"/>
      <c r="J67" s="9"/>
      <c r="K67" s="9"/>
      <c r="L67" s="9"/>
      <c r="M67" s="9"/>
      <c r="N67" s="9"/>
      <c r="O67" s="9"/>
      <c r="P67" s="206"/>
      <c r="Q67" s="9"/>
      <c r="R67" s="9"/>
      <c r="S67" s="9">
        <v>262296</v>
      </c>
      <c r="T67" s="12"/>
      <c r="U67" s="271"/>
      <c r="V67" s="52"/>
      <c r="W67" s="52"/>
      <c r="X67" s="52"/>
      <c r="Y67" s="52"/>
      <c r="Z67" s="52"/>
      <c r="AA67" s="52"/>
      <c r="AB67" s="52"/>
      <c r="AC67" s="52"/>
      <c r="AD67" s="210"/>
      <c r="AE67" s="52">
        <v>262296</v>
      </c>
      <c r="AF67" s="52"/>
      <c r="AG67" s="34">
        <f t="shared" si="6"/>
        <v>262296</v>
      </c>
      <c r="AH67" s="124">
        <f t="shared" si="7"/>
        <v>0</v>
      </c>
      <c r="AK67" s="271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442"/>
      <c r="AW67" s="37">
        <f t="shared" si="9"/>
        <v>0</v>
      </c>
      <c r="AX67" s="431">
        <f t="shared" si="5"/>
        <v>262296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54">
        <f t="shared" si="4"/>
        <v>0</v>
      </c>
      <c r="I68" s="35"/>
      <c r="J68" s="9"/>
      <c r="K68" s="9"/>
      <c r="L68" s="9"/>
      <c r="M68" s="9"/>
      <c r="N68" s="9"/>
      <c r="O68" s="9"/>
      <c r="P68" s="206"/>
      <c r="Q68" s="9"/>
      <c r="R68" s="9"/>
      <c r="S68" s="9"/>
      <c r="T68" s="12"/>
      <c r="U68" s="271"/>
      <c r="V68" s="52"/>
      <c r="W68" s="52"/>
      <c r="X68" s="52"/>
      <c r="Y68" s="52"/>
      <c r="Z68" s="52"/>
      <c r="AA68" s="52"/>
      <c r="AB68" s="52"/>
      <c r="AC68" s="52"/>
      <c r="AD68" s="210"/>
      <c r="AE68" s="52"/>
      <c r="AF68" s="52"/>
      <c r="AG68" s="34">
        <f t="shared" ref="AG68:AG74" si="10">SUM(U68:AF68)</f>
        <v>0</v>
      </c>
      <c r="AH68" s="124">
        <f t="shared" ref="AH68:AH74" si="11">+H68-AG68</f>
        <v>0</v>
      </c>
      <c r="AK68" s="271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442"/>
      <c r="AW68" s="37">
        <f t="shared" si="9"/>
        <v>0</v>
      </c>
      <c r="AX68" s="431">
        <f t="shared" si="5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54">
        <f t="shared" si="4"/>
        <v>0</v>
      </c>
      <c r="I69" s="35"/>
      <c r="J69" s="9"/>
      <c r="K69" s="9"/>
      <c r="L69" s="9"/>
      <c r="M69" s="9"/>
      <c r="N69" s="9"/>
      <c r="O69" s="9"/>
      <c r="P69" s="206"/>
      <c r="Q69" s="9"/>
      <c r="R69" s="9"/>
      <c r="S69" s="9"/>
      <c r="T69" s="12"/>
      <c r="U69" s="271"/>
      <c r="V69" s="52"/>
      <c r="W69" s="52"/>
      <c r="X69" s="52"/>
      <c r="Y69" s="52"/>
      <c r="Z69" s="52"/>
      <c r="AA69" s="52"/>
      <c r="AB69" s="52"/>
      <c r="AC69" s="52"/>
      <c r="AD69" s="210"/>
      <c r="AE69" s="52"/>
      <c r="AF69" s="52"/>
      <c r="AG69" s="34">
        <f t="shared" si="10"/>
        <v>0</v>
      </c>
      <c r="AH69" s="124">
        <f t="shared" si="11"/>
        <v>0</v>
      </c>
      <c r="AK69" s="271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442"/>
      <c r="AW69" s="37">
        <f t="shared" si="9"/>
        <v>0</v>
      </c>
      <c r="AX69" s="431">
        <f t="shared" si="5"/>
        <v>0</v>
      </c>
    </row>
    <row r="70" spans="1:50" ht="15">
      <c r="A70" s="18">
        <v>37</v>
      </c>
      <c r="B70" s="52" t="s">
        <v>132</v>
      </c>
      <c r="C70" s="148"/>
      <c r="D70" s="43"/>
      <c r="E70" s="174"/>
      <c r="F70" s="175"/>
      <c r="G70" s="176"/>
      <c r="H70" s="354">
        <f t="shared" si="4"/>
        <v>0</v>
      </c>
      <c r="I70" s="35"/>
      <c r="J70" s="9"/>
      <c r="K70" s="9"/>
      <c r="L70" s="9"/>
      <c r="M70" s="9"/>
      <c r="N70" s="9"/>
      <c r="O70" s="9"/>
      <c r="P70" s="206"/>
      <c r="Q70" s="9"/>
      <c r="R70" s="9"/>
      <c r="S70" s="9"/>
      <c r="T70" s="12"/>
      <c r="U70" s="271"/>
      <c r="V70" s="52"/>
      <c r="W70" s="52"/>
      <c r="X70" s="52"/>
      <c r="Y70" s="52"/>
      <c r="Z70" s="52"/>
      <c r="AA70" s="52"/>
      <c r="AB70" s="52"/>
      <c r="AC70" s="52"/>
      <c r="AD70" s="210"/>
      <c r="AE70" s="52"/>
      <c r="AF70" s="52"/>
      <c r="AG70" s="34">
        <f t="shared" si="10"/>
        <v>0</v>
      </c>
      <c r="AH70" s="124">
        <f t="shared" si="11"/>
        <v>0</v>
      </c>
      <c r="AK70" s="271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442"/>
      <c r="AW70" s="37">
        <f t="shared" si="9"/>
        <v>0</v>
      </c>
      <c r="AX70" s="431">
        <f t="shared" si="5"/>
        <v>0</v>
      </c>
    </row>
    <row r="71" spans="1:50" ht="15">
      <c r="A71" s="18">
        <v>38</v>
      </c>
      <c r="B71" s="52" t="s">
        <v>129</v>
      </c>
      <c r="C71" s="148"/>
      <c r="D71" s="43"/>
      <c r="E71" s="174"/>
      <c r="F71" s="175"/>
      <c r="G71" s="176"/>
      <c r="H71" s="354">
        <f t="shared" si="4"/>
        <v>0</v>
      </c>
      <c r="I71" s="35"/>
      <c r="J71" s="9"/>
      <c r="K71" s="9"/>
      <c r="L71" s="9"/>
      <c r="M71" s="9"/>
      <c r="N71" s="9"/>
      <c r="O71" s="9"/>
      <c r="P71" s="206"/>
      <c r="Q71" s="9"/>
      <c r="R71" s="9"/>
      <c r="S71" s="9"/>
      <c r="T71" s="12"/>
      <c r="U71" s="271"/>
      <c r="V71" s="52"/>
      <c r="W71" s="52"/>
      <c r="X71" s="52"/>
      <c r="Y71" s="52"/>
      <c r="Z71" s="52"/>
      <c r="AA71" s="52"/>
      <c r="AB71" s="52"/>
      <c r="AC71" s="52"/>
      <c r="AD71" s="210"/>
      <c r="AE71" s="52"/>
      <c r="AF71" s="52"/>
      <c r="AG71" s="34">
        <f t="shared" si="10"/>
        <v>0</v>
      </c>
      <c r="AH71" s="124">
        <f t="shared" si="11"/>
        <v>0</v>
      </c>
      <c r="AK71" s="271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442"/>
      <c r="AW71" s="37">
        <f t="shared" si="9"/>
        <v>0</v>
      </c>
      <c r="AX71" s="431">
        <f t="shared" si="5"/>
        <v>0</v>
      </c>
    </row>
    <row r="72" spans="1:50" ht="15">
      <c r="A72" s="18">
        <v>39</v>
      </c>
      <c r="B72" s="52" t="s">
        <v>133</v>
      </c>
      <c r="C72" s="148"/>
      <c r="D72" s="43"/>
      <c r="E72" s="174"/>
      <c r="F72" s="175"/>
      <c r="G72" s="176"/>
      <c r="H72" s="354">
        <f t="shared" si="4"/>
        <v>0</v>
      </c>
      <c r="I72" s="35"/>
      <c r="J72" s="9"/>
      <c r="K72" s="9"/>
      <c r="L72" s="9"/>
      <c r="M72" s="9"/>
      <c r="N72" s="9"/>
      <c r="O72" s="9"/>
      <c r="P72" s="206"/>
      <c r="Q72" s="9"/>
      <c r="R72" s="9"/>
      <c r="S72" s="9"/>
      <c r="T72" s="12"/>
      <c r="U72" s="271"/>
      <c r="V72" s="52"/>
      <c r="W72" s="52"/>
      <c r="X72" s="52"/>
      <c r="Y72" s="52"/>
      <c r="Z72" s="52"/>
      <c r="AA72" s="52"/>
      <c r="AB72" s="52"/>
      <c r="AC72" s="52"/>
      <c r="AD72" s="210"/>
      <c r="AE72" s="52"/>
      <c r="AF72" s="52"/>
      <c r="AG72" s="34">
        <f t="shared" si="10"/>
        <v>0</v>
      </c>
      <c r="AH72" s="124">
        <f t="shared" si="11"/>
        <v>0</v>
      </c>
      <c r="AK72" s="271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442"/>
      <c r="AW72" s="37">
        <f t="shared" si="9"/>
        <v>0</v>
      </c>
      <c r="AX72" s="431">
        <f t="shared" si="5"/>
        <v>0</v>
      </c>
    </row>
    <row r="73" spans="1:50" ht="15">
      <c r="A73" s="18">
        <v>40</v>
      </c>
      <c r="B73" s="52" t="s">
        <v>134</v>
      </c>
      <c r="C73" s="148"/>
      <c r="D73" s="43"/>
      <c r="E73" s="174"/>
      <c r="F73" s="175"/>
      <c r="G73" s="176"/>
      <c r="H73" s="354">
        <f t="shared" si="4"/>
        <v>0</v>
      </c>
      <c r="I73" s="35"/>
      <c r="J73" s="9"/>
      <c r="K73" s="9"/>
      <c r="L73" s="9"/>
      <c r="M73" s="9"/>
      <c r="N73" s="9"/>
      <c r="O73" s="9"/>
      <c r="P73" s="206"/>
      <c r="Q73" s="9"/>
      <c r="R73" s="9"/>
      <c r="S73" s="9"/>
      <c r="T73" s="12"/>
      <c r="U73" s="271"/>
      <c r="V73" s="52"/>
      <c r="W73" s="52"/>
      <c r="X73" s="52"/>
      <c r="Y73" s="52"/>
      <c r="Z73" s="52"/>
      <c r="AA73" s="52"/>
      <c r="AB73" s="52"/>
      <c r="AC73" s="52"/>
      <c r="AD73" s="210"/>
      <c r="AE73" s="52"/>
      <c r="AF73" s="52"/>
      <c r="AG73" s="34">
        <f t="shared" si="10"/>
        <v>0</v>
      </c>
      <c r="AH73" s="124">
        <f t="shared" si="11"/>
        <v>0</v>
      </c>
      <c r="AK73" s="271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442"/>
      <c r="AW73" s="37">
        <f t="shared" si="9"/>
        <v>0</v>
      </c>
      <c r="AX73" s="431">
        <f t="shared" si="5"/>
        <v>0</v>
      </c>
    </row>
    <row r="74" spans="1:50" ht="15">
      <c r="A74" s="18">
        <v>41</v>
      </c>
      <c r="B74" s="52" t="s">
        <v>135</v>
      </c>
      <c r="C74" s="148"/>
      <c r="D74" s="43"/>
      <c r="E74" s="174"/>
      <c r="F74" s="175"/>
      <c r="G74" s="176"/>
      <c r="H74" s="354">
        <f t="shared" si="4"/>
        <v>0</v>
      </c>
      <c r="I74" s="35"/>
      <c r="J74" s="9"/>
      <c r="K74" s="9"/>
      <c r="L74" s="9"/>
      <c r="M74" s="9"/>
      <c r="N74" s="9"/>
      <c r="O74" s="9"/>
      <c r="P74" s="206"/>
      <c r="Q74" s="9"/>
      <c r="R74" s="9"/>
      <c r="S74" s="9"/>
      <c r="T74" s="12"/>
      <c r="U74" s="271"/>
      <c r="V74" s="52"/>
      <c r="W74" s="52"/>
      <c r="X74" s="52"/>
      <c r="Y74" s="52"/>
      <c r="Z74" s="52"/>
      <c r="AA74" s="52"/>
      <c r="AB74" s="52"/>
      <c r="AC74" s="52"/>
      <c r="AD74" s="210"/>
      <c r="AE74" s="52"/>
      <c r="AF74" s="52"/>
      <c r="AG74" s="34">
        <f t="shared" si="10"/>
        <v>0</v>
      </c>
      <c r="AH74" s="124">
        <f t="shared" si="11"/>
        <v>0</v>
      </c>
      <c r="AK74" s="271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442"/>
      <c r="AW74" s="37">
        <f t="shared" si="9"/>
        <v>0</v>
      </c>
      <c r="AX74" s="431">
        <f t="shared" si="5"/>
        <v>0</v>
      </c>
    </row>
    <row r="75" spans="1:50" ht="15">
      <c r="A75" s="18">
        <v>42</v>
      </c>
      <c r="B75" s="52" t="s">
        <v>170</v>
      </c>
      <c r="C75" s="148"/>
      <c r="D75" s="43"/>
      <c r="E75" s="720" t="s">
        <v>172</v>
      </c>
      <c r="F75" s="721"/>
      <c r="G75" s="722"/>
      <c r="H75" s="354">
        <f t="shared" si="4"/>
        <v>0</v>
      </c>
      <c r="I75" s="35"/>
      <c r="J75" s="9"/>
      <c r="K75" s="9"/>
      <c r="L75" s="9"/>
      <c r="M75" s="9"/>
      <c r="N75" s="9"/>
      <c r="O75" s="9"/>
      <c r="P75" s="206"/>
      <c r="Q75" s="9"/>
      <c r="R75" s="9"/>
      <c r="S75" s="9"/>
      <c r="T75" s="12"/>
      <c r="U75" s="271"/>
      <c r="V75" s="52"/>
      <c r="W75" s="52"/>
      <c r="X75" s="52"/>
      <c r="Y75" s="52"/>
      <c r="Z75" s="52"/>
      <c r="AA75" s="52"/>
      <c r="AB75" s="52"/>
      <c r="AC75" s="52"/>
      <c r="AD75" s="210"/>
      <c r="AE75" s="52"/>
      <c r="AF75" s="52"/>
      <c r="AG75" s="34">
        <f t="shared" ref="AG75:AG82" si="12">SUM(U75:AF75)</f>
        <v>0</v>
      </c>
      <c r="AH75" s="124">
        <f t="shared" ref="AH75:AH83" si="13">+H75-AG75</f>
        <v>0</v>
      </c>
      <c r="AK75" s="271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442"/>
      <c r="AW75" s="37">
        <f t="shared" si="9"/>
        <v>0</v>
      </c>
      <c r="AX75" s="431">
        <f t="shared" si="5"/>
        <v>0</v>
      </c>
    </row>
    <row r="76" spans="1:50" ht="15">
      <c r="A76" s="18">
        <v>43</v>
      </c>
      <c r="B76" s="52" t="s">
        <v>173</v>
      </c>
      <c r="C76" s="148"/>
      <c r="D76" s="43"/>
      <c r="E76" s="720" t="s">
        <v>172</v>
      </c>
      <c r="F76" s="721"/>
      <c r="G76" s="722"/>
      <c r="H76" s="354">
        <f t="shared" si="4"/>
        <v>0</v>
      </c>
      <c r="I76" s="35"/>
      <c r="J76" s="9"/>
      <c r="K76" s="9"/>
      <c r="L76" s="9"/>
      <c r="M76" s="9"/>
      <c r="N76" s="9"/>
      <c r="O76" s="9"/>
      <c r="P76" s="206"/>
      <c r="Q76" s="9"/>
      <c r="R76" s="9"/>
      <c r="S76" s="9"/>
      <c r="T76" s="12"/>
      <c r="U76" s="271"/>
      <c r="V76" s="52"/>
      <c r="W76" s="52"/>
      <c r="X76" s="52"/>
      <c r="Y76" s="52"/>
      <c r="Z76" s="52"/>
      <c r="AA76" s="52"/>
      <c r="AB76" s="52"/>
      <c r="AC76" s="52"/>
      <c r="AD76" s="210"/>
      <c r="AE76" s="52"/>
      <c r="AF76" s="52"/>
      <c r="AG76" s="34">
        <f t="shared" si="12"/>
        <v>0</v>
      </c>
      <c r="AH76" s="124">
        <f t="shared" si="13"/>
        <v>0</v>
      </c>
      <c r="AK76" s="271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442"/>
      <c r="AW76" s="37">
        <f t="shared" si="9"/>
        <v>0</v>
      </c>
      <c r="AX76" s="431">
        <f t="shared" si="5"/>
        <v>0</v>
      </c>
    </row>
    <row r="77" spans="1:50" ht="15">
      <c r="A77" s="18">
        <v>44</v>
      </c>
      <c r="B77" s="52" t="s">
        <v>188</v>
      </c>
      <c r="C77" s="148"/>
      <c r="D77" s="43"/>
      <c r="E77" s="479"/>
      <c r="F77" s="480"/>
      <c r="G77" s="480"/>
      <c r="H77" s="354">
        <f t="shared" si="4"/>
        <v>0</v>
      </c>
      <c r="I77" s="35"/>
      <c r="J77" s="9"/>
      <c r="K77" s="9"/>
      <c r="L77" s="9"/>
      <c r="M77" s="9"/>
      <c r="N77" s="9"/>
      <c r="O77" s="9"/>
      <c r="P77" s="206"/>
      <c r="Q77" s="9"/>
      <c r="R77" s="9"/>
      <c r="S77" s="9"/>
      <c r="T77" s="12"/>
      <c r="U77" s="271"/>
      <c r="V77" s="52"/>
      <c r="W77" s="52"/>
      <c r="X77" s="52"/>
      <c r="Y77" s="52"/>
      <c r="Z77" s="52"/>
      <c r="AA77" s="52"/>
      <c r="AB77" s="52"/>
      <c r="AC77" s="52"/>
      <c r="AD77" s="210"/>
      <c r="AE77" s="52"/>
      <c r="AF77" s="52"/>
      <c r="AG77" s="34">
        <f t="shared" si="12"/>
        <v>0</v>
      </c>
      <c r="AH77" s="124">
        <f t="shared" si="13"/>
        <v>0</v>
      </c>
      <c r="AK77" s="271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442"/>
      <c r="AW77" s="37">
        <f t="shared" si="9"/>
        <v>0</v>
      </c>
      <c r="AX77" s="431">
        <f t="shared" si="5"/>
        <v>0</v>
      </c>
    </row>
    <row r="78" spans="1:50" ht="15">
      <c r="A78" s="18">
        <v>45</v>
      </c>
      <c r="B78" s="52" t="s">
        <v>189</v>
      </c>
      <c r="C78" s="148"/>
      <c r="D78" s="43"/>
      <c r="E78" s="720" t="s">
        <v>172</v>
      </c>
      <c r="F78" s="721"/>
      <c r="G78" s="722"/>
      <c r="H78" s="354">
        <f t="shared" si="4"/>
        <v>0</v>
      </c>
      <c r="I78" s="35"/>
      <c r="J78" s="9"/>
      <c r="K78" s="9"/>
      <c r="L78" s="9"/>
      <c r="M78" s="9"/>
      <c r="N78" s="9"/>
      <c r="O78" s="9"/>
      <c r="P78" s="206"/>
      <c r="Q78" s="9"/>
      <c r="R78" s="9"/>
      <c r="S78" s="9"/>
      <c r="T78" s="12"/>
      <c r="U78" s="271"/>
      <c r="V78" s="52"/>
      <c r="W78" s="52"/>
      <c r="X78" s="52"/>
      <c r="Y78" s="52"/>
      <c r="Z78" s="52"/>
      <c r="AA78" s="52"/>
      <c r="AB78" s="52"/>
      <c r="AC78" s="52"/>
      <c r="AD78" s="210"/>
      <c r="AE78" s="52"/>
      <c r="AF78" s="52"/>
      <c r="AG78" s="34">
        <f t="shared" si="12"/>
        <v>0</v>
      </c>
      <c r="AH78" s="124">
        <f t="shared" si="13"/>
        <v>0</v>
      </c>
      <c r="AK78" s="271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442"/>
      <c r="AW78" s="37">
        <f>SUM(AK78:AV78)</f>
        <v>0</v>
      </c>
      <c r="AX78" s="431">
        <f>+AG78-AW78</f>
        <v>0</v>
      </c>
    </row>
    <row r="79" spans="1:50" ht="15">
      <c r="A79" s="18">
        <v>46</v>
      </c>
      <c r="B79" s="52" t="s">
        <v>205</v>
      </c>
      <c r="C79" s="148"/>
      <c r="D79" s="43"/>
      <c r="E79" s="479"/>
      <c r="F79" s="480"/>
      <c r="G79" s="480"/>
      <c r="H79" s="354">
        <f t="shared" si="4"/>
        <v>0</v>
      </c>
      <c r="I79" s="35"/>
      <c r="J79" s="9"/>
      <c r="K79" s="9"/>
      <c r="L79" s="9"/>
      <c r="M79" s="9"/>
      <c r="N79" s="9"/>
      <c r="O79" s="9"/>
      <c r="P79" s="206"/>
      <c r="Q79" s="9"/>
      <c r="R79" s="9"/>
      <c r="S79" s="9"/>
      <c r="T79" s="12"/>
      <c r="U79" s="271"/>
      <c r="V79" s="52"/>
      <c r="W79" s="52"/>
      <c r="X79" s="52"/>
      <c r="Y79" s="52"/>
      <c r="Z79" s="52"/>
      <c r="AA79" s="52"/>
      <c r="AB79" s="52"/>
      <c r="AC79" s="52"/>
      <c r="AD79" s="210"/>
      <c r="AE79" s="52"/>
      <c r="AF79" s="52"/>
      <c r="AG79" s="34">
        <f t="shared" si="12"/>
        <v>0</v>
      </c>
      <c r="AH79" s="124">
        <f t="shared" si="13"/>
        <v>0</v>
      </c>
      <c r="AK79" s="271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442"/>
      <c r="AW79" s="37">
        <f>SUM(AK79:AV79)</f>
        <v>0</v>
      </c>
      <c r="AX79" s="431">
        <f>+AG79-AW79</f>
        <v>0</v>
      </c>
    </row>
    <row r="80" spans="1:50" ht="15">
      <c r="A80" s="573">
        <v>47</v>
      </c>
      <c r="B80" s="568" t="s">
        <v>184</v>
      </c>
      <c r="C80" s="569">
        <v>558</v>
      </c>
      <c r="D80" s="567">
        <v>72792300</v>
      </c>
      <c r="E80" s="563">
        <f>+D80*1</f>
        <v>72792300</v>
      </c>
      <c r="F80" s="564"/>
      <c r="G80" s="565"/>
      <c r="H80" s="354">
        <f t="shared" si="4"/>
        <v>72792300</v>
      </c>
      <c r="I80" s="35"/>
      <c r="J80" s="9"/>
      <c r="K80" s="9"/>
      <c r="L80" s="9"/>
      <c r="M80" s="9"/>
      <c r="N80" s="9"/>
      <c r="O80" s="9">
        <v>72792300</v>
      </c>
      <c r="P80" s="206"/>
      <c r="Q80" s="9"/>
      <c r="R80" s="9"/>
      <c r="S80" s="9"/>
      <c r="T80" s="12"/>
      <c r="U80" s="271"/>
      <c r="V80" s="52"/>
      <c r="W80" s="52"/>
      <c r="X80" s="52"/>
      <c r="Y80" s="52"/>
      <c r="Z80" s="52"/>
      <c r="AA80" s="210">
        <v>72792300</v>
      </c>
      <c r="AB80" s="52"/>
      <c r="AC80" s="52"/>
      <c r="AD80" s="210"/>
      <c r="AE80" s="52"/>
      <c r="AF80" s="52"/>
      <c r="AG80" s="34">
        <f t="shared" si="12"/>
        <v>72792300</v>
      </c>
      <c r="AH80" s="124">
        <f t="shared" si="13"/>
        <v>0</v>
      </c>
      <c r="AK80" s="271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442"/>
      <c r="AW80" s="37">
        <f>SUM(AK80:AV80)</f>
        <v>0</v>
      </c>
      <c r="AX80" s="431">
        <f>+AG80-AW80</f>
        <v>72792300</v>
      </c>
    </row>
    <row r="81" spans="1:50" ht="15">
      <c r="A81" s="573">
        <v>48</v>
      </c>
      <c r="B81" s="568" t="s">
        <v>300</v>
      </c>
      <c r="C81" s="569">
        <v>5736</v>
      </c>
      <c r="D81" s="567">
        <v>206077413</v>
      </c>
      <c r="E81" s="563">
        <v>206077413</v>
      </c>
      <c r="F81" s="564"/>
      <c r="G81" s="565"/>
      <c r="H81" s="354">
        <f t="shared" si="4"/>
        <v>206077413</v>
      </c>
      <c r="I81" s="49"/>
      <c r="J81" s="48"/>
      <c r="K81" s="48"/>
      <c r="L81" s="48"/>
      <c r="M81" s="48"/>
      <c r="N81" s="48"/>
      <c r="O81" s="9"/>
      <c r="P81" s="206"/>
      <c r="Q81" s="9"/>
      <c r="R81" s="9"/>
      <c r="S81" s="9">
        <v>206077413</v>
      </c>
      <c r="T81" s="12"/>
      <c r="U81" s="271"/>
      <c r="V81" s="52"/>
      <c r="W81" s="52"/>
      <c r="X81" s="52"/>
      <c r="Y81" s="52"/>
      <c r="Z81" s="52"/>
      <c r="AA81" s="210"/>
      <c r="AB81" s="52"/>
      <c r="AC81" s="52"/>
      <c r="AD81" s="210">
        <v>206077413</v>
      </c>
      <c r="AE81" s="52"/>
      <c r="AF81" s="52"/>
      <c r="AG81" s="34">
        <f t="shared" si="12"/>
        <v>206077413</v>
      </c>
      <c r="AH81" s="124">
        <f t="shared" si="13"/>
        <v>0</v>
      </c>
      <c r="AK81" s="271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442"/>
      <c r="AW81" s="37">
        <f>SUM(AK81:AV81)</f>
        <v>0</v>
      </c>
      <c r="AX81" s="431">
        <f>+AG81-AW81</f>
        <v>206077413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54">
        <f t="shared" si="4"/>
        <v>0</v>
      </c>
      <c r="I82" s="357"/>
      <c r="J82" s="358"/>
      <c r="K82" s="358"/>
      <c r="L82" s="358"/>
      <c r="M82" s="358"/>
      <c r="N82" s="358"/>
      <c r="O82" s="9"/>
      <c r="P82" s="206"/>
      <c r="Q82" s="9"/>
      <c r="R82" s="9"/>
      <c r="S82" s="9"/>
      <c r="T82" s="12"/>
      <c r="U82" s="271"/>
      <c r="V82" s="52"/>
      <c r="W82" s="52"/>
      <c r="X82" s="52"/>
      <c r="Y82" s="52"/>
      <c r="Z82" s="52"/>
      <c r="AA82" s="52"/>
      <c r="AB82" s="52"/>
      <c r="AC82" s="52"/>
      <c r="AD82" s="210"/>
      <c r="AE82" s="52"/>
      <c r="AF82" s="52"/>
      <c r="AG82" s="34">
        <f t="shared" si="12"/>
        <v>0</v>
      </c>
      <c r="AH82" s="124">
        <f t="shared" si="13"/>
        <v>0</v>
      </c>
      <c r="AK82" s="271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442"/>
      <c r="AW82" s="37">
        <f>SUM(AK82:AV82)</f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177821149</v>
      </c>
      <c r="E83" s="86"/>
      <c r="F83" s="87"/>
      <c r="G83" s="88"/>
      <c r="H83" s="342">
        <f t="shared" ref="H83:AG83" si="14">SUM(H34:H82)</f>
        <v>383898562</v>
      </c>
      <c r="I83" s="355">
        <f t="shared" si="14"/>
        <v>0</v>
      </c>
      <c r="J83" s="356">
        <f t="shared" si="14"/>
        <v>0</v>
      </c>
      <c r="K83" s="356">
        <f t="shared" si="14"/>
        <v>64699815</v>
      </c>
      <c r="L83" s="356">
        <f t="shared" si="14"/>
        <v>8636772</v>
      </c>
      <c r="M83" s="356">
        <f t="shared" si="14"/>
        <v>0</v>
      </c>
      <c r="N83" s="356">
        <f t="shared" si="14"/>
        <v>0</v>
      </c>
      <c r="O83" s="356">
        <f t="shared" si="14"/>
        <v>72792300</v>
      </c>
      <c r="P83" s="498">
        <f t="shared" si="14"/>
        <v>0</v>
      </c>
      <c r="Q83" s="356">
        <f t="shared" si="14"/>
        <v>0</v>
      </c>
      <c r="R83" s="356">
        <f t="shared" si="14"/>
        <v>29653682</v>
      </c>
      <c r="S83" s="356">
        <f t="shared" si="14"/>
        <v>208115993</v>
      </c>
      <c r="T83" s="356">
        <f t="shared" si="14"/>
        <v>0</v>
      </c>
      <c r="U83" s="115">
        <f t="shared" si="14"/>
        <v>0</v>
      </c>
      <c r="V83" s="115">
        <f t="shared" si="14"/>
        <v>0</v>
      </c>
      <c r="W83" s="115">
        <f t="shared" si="14"/>
        <v>64699815</v>
      </c>
      <c r="X83" s="115">
        <f t="shared" si="14"/>
        <v>8636772</v>
      </c>
      <c r="Y83" s="115">
        <f t="shared" si="14"/>
        <v>0</v>
      </c>
      <c r="Z83" s="115">
        <f t="shared" si="14"/>
        <v>0</v>
      </c>
      <c r="AA83" s="115">
        <f t="shared" si="14"/>
        <v>72792300</v>
      </c>
      <c r="AB83" s="115">
        <f t="shared" si="14"/>
        <v>0</v>
      </c>
      <c r="AC83" s="115">
        <f t="shared" si="14"/>
        <v>0</v>
      </c>
      <c r="AD83" s="241">
        <f t="shared" si="14"/>
        <v>228193000</v>
      </c>
      <c r="AE83" s="115">
        <f t="shared" si="14"/>
        <v>262296</v>
      </c>
      <c r="AF83" s="115">
        <f t="shared" si="14"/>
        <v>0</v>
      </c>
      <c r="AG83" s="115">
        <f t="shared" si="14"/>
        <v>374584183</v>
      </c>
      <c r="AH83" s="125">
        <f t="shared" si="13"/>
        <v>9314379</v>
      </c>
      <c r="AK83" s="424">
        <f t="shared" ref="AK83:AX83" si="15">SUM(AK34:AK82)</f>
        <v>0</v>
      </c>
      <c r="AL83" s="424">
        <f t="shared" si="15"/>
        <v>0</v>
      </c>
      <c r="AM83" s="424">
        <f t="shared" si="15"/>
        <v>0</v>
      </c>
      <c r="AN83" s="424">
        <f t="shared" si="15"/>
        <v>0</v>
      </c>
      <c r="AO83" s="424">
        <f t="shared" si="15"/>
        <v>0</v>
      </c>
      <c r="AP83" s="424">
        <f t="shared" si="15"/>
        <v>0</v>
      </c>
      <c r="AQ83" s="424">
        <f t="shared" si="15"/>
        <v>0</v>
      </c>
      <c r="AR83" s="424">
        <f t="shared" si="15"/>
        <v>0</v>
      </c>
      <c r="AS83" s="424">
        <f t="shared" si="15"/>
        <v>0</v>
      </c>
      <c r="AT83" s="424">
        <f t="shared" si="15"/>
        <v>11590254</v>
      </c>
      <c r="AU83" s="424">
        <f t="shared" si="15"/>
        <v>0</v>
      </c>
      <c r="AV83" s="433">
        <f t="shared" si="15"/>
        <v>4813344</v>
      </c>
      <c r="AW83" s="447">
        <f t="shared" si="15"/>
        <v>16403598</v>
      </c>
      <c r="AX83" s="429">
        <f t="shared" si="15"/>
        <v>358180585</v>
      </c>
    </row>
    <row r="84" spans="1:50" ht="15.75" thickBot="1">
      <c r="Q84" s="788" t="s">
        <v>146</v>
      </c>
      <c r="R84" s="789"/>
      <c r="S84" s="789"/>
      <c r="T84" s="789"/>
      <c r="U84" s="398"/>
      <c r="V84" s="399"/>
      <c r="W84" s="398">
        <v>3450035</v>
      </c>
      <c r="X84" s="399">
        <v>3450036</v>
      </c>
      <c r="Y84" s="398"/>
      <c r="Z84" s="399"/>
      <c r="AA84" s="398">
        <v>3479958</v>
      </c>
      <c r="AB84" s="399"/>
      <c r="AC84" s="398"/>
      <c r="AD84" s="666">
        <v>3513786</v>
      </c>
      <c r="AE84" s="398"/>
      <c r="AF84" s="398"/>
    </row>
    <row r="85" spans="1:50" ht="15.75" thickBot="1">
      <c r="A85" s="761" t="s">
        <v>94</v>
      </c>
      <c r="B85" s="762"/>
      <c r="C85" s="763"/>
      <c r="D85" s="133">
        <f>+D83+D30</f>
        <v>177821149</v>
      </c>
      <c r="E85" s="127"/>
      <c r="F85" s="128"/>
      <c r="G85" s="128"/>
      <c r="H85" s="129">
        <f>+H30+H83</f>
        <v>384518229</v>
      </c>
      <c r="I85" s="130">
        <f t="shared" ref="I85:AH85" si="16">+I83+I30</f>
        <v>0</v>
      </c>
      <c r="J85" s="130">
        <f t="shared" si="16"/>
        <v>0</v>
      </c>
      <c r="K85" s="130">
        <f t="shared" si="16"/>
        <v>64699815</v>
      </c>
      <c r="L85" s="130">
        <f t="shared" si="16"/>
        <v>8636772</v>
      </c>
      <c r="M85" s="130">
        <f t="shared" si="16"/>
        <v>0</v>
      </c>
      <c r="N85" s="130">
        <f t="shared" si="16"/>
        <v>0</v>
      </c>
      <c r="O85" s="130">
        <f t="shared" si="16"/>
        <v>72792300</v>
      </c>
      <c r="P85" s="215">
        <f t="shared" si="16"/>
        <v>0</v>
      </c>
      <c r="Q85" s="130">
        <f t="shared" si="16"/>
        <v>0</v>
      </c>
      <c r="R85" s="130">
        <f t="shared" si="16"/>
        <v>29653682</v>
      </c>
      <c r="S85" s="130">
        <f t="shared" si="16"/>
        <v>208115993</v>
      </c>
      <c r="T85" s="131">
        <f t="shared" si="16"/>
        <v>619667</v>
      </c>
      <c r="U85" s="129">
        <f t="shared" si="16"/>
        <v>0</v>
      </c>
      <c r="V85" s="134">
        <f t="shared" si="16"/>
        <v>0</v>
      </c>
      <c r="W85" s="286">
        <f t="shared" si="16"/>
        <v>64699815</v>
      </c>
      <c r="X85" s="287">
        <f t="shared" si="16"/>
        <v>8636772</v>
      </c>
      <c r="Y85" s="134">
        <f t="shared" si="16"/>
        <v>0</v>
      </c>
      <c r="Z85" s="286">
        <f t="shared" si="16"/>
        <v>0</v>
      </c>
      <c r="AA85" s="287">
        <f t="shared" si="16"/>
        <v>72792300</v>
      </c>
      <c r="AB85" s="134">
        <f t="shared" si="16"/>
        <v>0</v>
      </c>
      <c r="AC85" s="286">
        <f t="shared" si="16"/>
        <v>0</v>
      </c>
      <c r="AD85" s="242">
        <f t="shared" si="16"/>
        <v>228193000</v>
      </c>
      <c r="AE85" s="134">
        <f t="shared" si="16"/>
        <v>262296</v>
      </c>
      <c r="AF85" s="286">
        <f t="shared" si="16"/>
        <v>619667</v>
      </c>
      <c r="AG85" s="283">
        <f t="shared" si="16"/>
        <v>375203850</v>
      </c>
      <c r="AH85" s="132">
        <f t="shared" si="16"/>
        <v>9314379</v>
      </c>
    </row>
    <row r="87" spans="1:50" ht="15" thickBot="1">
      <c r="D87" s="1"/>
      <c r="E87" s="1"/>
      <c r="F87" s="1"/>
      <c r="G87" s="1"/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64699815</v>
      </c>
    </row>
    <row r="90" spans="1:50">
      <c r="A90" s="276" t="s">
        <v>120</v>
      </c>
      <c r="B90" s="706" t="s">
        <v>124</v>
      </c>
      <c r="C90" s="707"/>
      <c r="D90" s="277">
        <f>+X85+Y85+Z85</f>
        <v>8636772</v>
      </c>
    </row>
    <row r="91" spans="1:50">
      <c r="A91" s="276" t="s">
        <v>121</v>
      </c>
      <c r="B91" s="706" t="s">
        <v>125</v>
      </c>
      <c r="C91" s="707"/>
      <c r="D91" s="277">
        <f>+AA85+AB85+AC85</f>
        <v>72792300</v>
      </c>
      <c r="E91" s="299">
        <v>72792300</v>
      </c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229074963</v>
      </c>
    </row>
    <row r="93" spans="1:50" ht="15.75" customHeight="1" thickBot="1">
      <c r="A93" s="756" t="s">
        <v>117</v>
      </c>
      <c r="B93" s="757"/>
      <c r="C93" s="757"/>
      <c r="D93" s="280">
        <f>SUM(D89:D92)</f>
        <v>375203850</v>
      </c>
    </row>
  </sheetData>
  <mergeCells count="23"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AX104"/>
  <sheetViews>
    <sheetView topLeftCell="S24" zoomScale="70" zoomScaleNormal="70" workbookViewId="0">
      <selection activeCell="B50" sqref="A50:XFD53"/>
    </sheetView>
  </sheetViews>
  <sheetFormatPr baseColWidth="10" defaultRowHeight="14.25"/>
  <cols>
    <col min="1" max="1" width="4.85546875" style="1" customWidth="1"/>
    <col min="2" max="2" width="38.85546875" style="1" bestFit="1" customWidth="1"/>
    <col min="3" max="3" width="22.85546875" style="1" customWidth="1"/>
    <col min="4" max="4" width="19.28515625" style="6" customWidth="1"/>
    <col min="5" max="5" width="15.42578125" style="4" customWidth="1"/>
    <col min="6" max="6" width="14.42578125" style="4" customWidth="1"/>
    <col min="7" max="7" width="15.28515625" style="4" customWidth="1"/>
    <col min="8" max="8" width="16.7109375" style="207" customWidth="1"/>
    <col min="9" max="9" width="16.7109375" style="207" hidden="1" customWidth="1"/>
    <col min="10" max="10" width="13.5703125" style="207" hidden="1" customWidth="1"/>
    <col min="11" max="11" width="13.7109375" style="207" hidden="1" customWidth="1"/>
    <col min="12" max="12" width="17.28515625" style="207" hidden="1" customWidth="1"/>
    <col min="13" max="13" width="15.7109375" style="207" hidden="1" customWidth="1"/>
    <col min="14" max="14" width="17.42578125" style="207" hidden="1" customWidth="1"/>
    <col min="15" max="15" width="16.7109375" style="207" hidden="1" customWidth="1"/>
    <col min="16" max="16" width="17.42578125" style="207" hidden="1" customWidth="1"/>
    <col min="17" max="17" width="13.7109375" style="207" hidden="1" customWidth="1"/>
    <col min="18" max="18" width="15" style="207" hidden="1" customWidth="1"/>
    <col min="19" max="19" width="17.42578125" style="207" customWidth="1"/>
    <col min="20" max="20" width="15.42578125" style="207" customWidth="1"/>
    <col min="21" max="22" width="16.7109375" style="207" hidden="1" customWidth="1"/>
    <col min="23" max="23" width="17.140625" style="207" hidden="1" customWidth="1"/>
    <col min="24" max="24" width="17.42578125" style="207" hidden="1" customWidth="1"/>
    <col min="25" max="25" width="16.7109375" style="207" hidden="1" customWidth="1"/>
    <col min="26" max="26" width="17.42578125" style="207" hidden="1" customWidth="1"/>
    <col min="27" max="27" width="16.7109375" style="207" hidden="1" customWidth="1"/>
    <col min="28" max="28" width="17.140625" style="207" hidden="1" customWidth="1"/>
    <col min="29" max="29" width="17.7109375" style="207" hidden="1" customWidth="1"/>
    <col min="30" max="30" width="17.140625" style="207" hidden="1" customWidth="1"/>
    <col min="31" max="31" width="16.7109375" style="207" customWidth="1"/>
    <col min="32" max="32" width="15.42578125" style="207" customWidth="1"/>
    <col min="33" max="33" width="17" style="207" customWidth="1"/>
    <col min="34" max="34" width="15.140625" style="1" customWidth="1"/>
    <col min="35" max="35" width="14.85546875" style="1" customWidth="1"/>
    <col min="36" max="36" width="11.42578125" style="1" customWidth="1"/>
    <col min="37" max="38" width="11.42578125" style="1" hidden="1" customWidth="1"/>
    <col min="39" max="39" width="14.28515625" style="1" hidden="1" customWidth="1"/>
    <col min="40" max="40" width="11.42578125" style="1" hidden="1" customWidth="1"/>
    <col min="41" max="41" width="14" style="1" hidden="1" customWidth="1"/>
    <col min="42" max="42" width="10" style="1" hidden="1" customWidth="1"/>
    <col min="43" max="43" width="13.140625" style="1" hidden="1" customWidth="1"/>
    <col min="44" max="44" width="14" style="1" hidden="1" customWidth="1"/>
    <col min="45" max="45" width="14.7109375" style="1" hidden="1" customWidth="1"/>
    <col min="46" max="46" width="14.28515625" style="1" hidden="1" customWidth="1"/>
    <col min="47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41" ht="60.75" customHeight="1"/>
    <row r="3" spans="1:41">
      <c r="B3" s="2" t="s">
        <v>0</v>
      </c>
    </row>
    <row r="4" spans="1:41">
      <c r="B4" s="2" t="s">
        <v>1</v>
      </c>
    </row>
    <row r="5" spans="1:41" ht="14.25" customHeight="1">
      <c r="B5" s="2" t="s">
        <v>2</v>
      </c>
      <c r="H5" s="784" t="s">
        <v>3</v>
      </c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  <c r="AD5" s="784"/>
    </row>
    <row r="6" spans="1:41" ht="14.25" customHeight="1"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4"/>
      <c r="X6" s="784"/>
      <c r="Y6" s="784"/>
      <c r="Z6" s="784"/>
      <c r="AA6" s="784"/>
      <c r="AB6" s="784"/>
      <c r="AC6" s="784"/>
      <c r="AD6" s="784"/>
    </row>
    <row r="7" spans="1:41" ht="22.5" customHeight="1">
      <c r="H7" s="784"/>
      <c r="I7" s="784"/>
      <c r="J7" s="784"/>
      <c r="K7" s="784"/>
      <c r="L7" s="784"/>
      <c r="M7" s="784"/>
      <c r="N7" s="784"/>
      <c r="O7" s="784"/>
      <c r="P7" s="784"/>
      <c r="Q7" s="784"/>
      <c r="R7" s="784"/>
      <c r="S7" s="784"/>
      <c r="T7" s="784"/>
      <c r="U7" s="784"/>
      <c r="V7" s="784"/>
      <c r="W7" s="784"/>
      <c r="X7" s="784"/>
      <c r="Y7" s="784"/>
      <c r="Z7" s="784"/>
      <c r="AA7" s="784"/>
      <c r="AB7" s="784"/>
      <c r="AC7" s="784"/>
      <c r="AD7" s="784"/>
    </row>
    <row r="8" spans="1:41" ht="14.25" customHeight="1">
      <c r="H8" s="243"/>
      <c r="I8" s="243"/>
      <c r="J8" s="243"/>
      <c r="K8" s="243"/>
      <c r="L8" s="243"/>
      <c r="M8" s="243"/>
      <c r="N8" s="243"/>
      <c r="O8" s="243"/>
      <c r="P8" s="495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</row>
    <row r="10" spans="1:41">
      <c r="B10" s="3" t="s">
        <v>50</v>
      </c>
    </row>
    <row r="11" spans="1:41">
      <c r="B11" s="3" t="s">
        <v>51</v>
      </c>
    </row>
    <row r="12" spans="1:41">
      <c r="B12" s="3" t="s">
        <v>70</v>
      </c>
    </row>
    <row r="13" spans="1:41" ht="15" thickBot="1"/>
    <row r="14" spans="1:41" ht="42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74" t="s">
        <v>38</v>
      </c>
      <c r="I14" s="775"/>
      <c r="J14" s="775"/>
      <c r="K14" s="775"/>
      <c r="L14" s="775"/>
      <c r="M14" s="775"/>
      <c r="N14" s="785"/>
      <c r="O14" s="777"/>
      <c r="P14" s="777"/>
      <c r="Q14" s="777"/>
      <c r="R14" s="777"/>
      <c r="S14" s="777"/>
      <c r="T14" s="778"/>
      <c r="U14" s="768" t="s">
        <v>39</v>
      </c>
      <c r="V14" s="769"/>
      <c r="W14" s="769"/>
      <c r="X14" s="769"/>
      <c r="Y14" s="769"/>
      <c r="Z14" s="769"/>
      <c r="AA14" s="769"/>
      <c r="AB14" s="769"/>
      <c r="AC14" s="769"/>
      <c r="AD14" s="769"/>
      <c r="AE14" s="769"/>
      <c r="AF14" s="769"/>
      <c r="AG14" s="770"/>
    </row>
    <row r="15" spans="1:41" ht="45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41" ht="15">
      <c r="A16" s="18">
        <v>1</v>
      </c>
      <c r="B16" s="19" t="s">
        <v>26</v>
      </c>
      <c r="C16" s="146" t="s">
        <v>29</v>
      </c>
      <c r="D16" s="21">
        <f>172762755*12</f>
        <v>2073153060</v>
      </c>
      <c r="E16" s="22"/>
      <c r="F16" s="23"/>
      <c r="G16" s="24"/>
      <c r="H16" s="322">
        <f>SUM(I16:T16)</f>
        <v>2073153060</v>
      </c>
      <c r="I16" s="250">
        <v>172762755</v>
      </c>
      <c r="J16" s="217">
        <v>172762755</v>
      </c>
      <c r="K16" s="217">
        <v>172762755</v>
      </c>
      <c r="L16" s="217">
        <v>172762755</v>
      </c>
      <c r="M16" s="212">
        <v>172762755</v>
      </c>
      <c r="N16" s="217">
        <v>172762755</v>
      </c>
      <c r="O16" s="212">
        <v>172762755</v>
      </c>
      <c r="P16" s="212">
        <v>172762755</v>
      </c>
      <c r="Q16" s="212">
        <v>172762755</v>
      </c>
      <c r="R16" s="212">
        <v>172762755</v>
      </c>
      <c r="S16" s="212">
        <v>172762755</v>
      </c>
      <c r="T16" s="248">
        <v>172762755</v>
      </c>
      <c r="U16" s="234">
        <v>172762755</v>
      </c>
      <c r="V16" s="217">
        <v>172762755</v>
      </c>
      <c r="W16" s="217">
        <v>172762755</v>
      </c>
      <c r="X16" s="217">
        <v>172762755</v>
      </c>
      <c r="Y16" s="209">
        <v>172762755</v>
      </c>
      <c r="Z16" s="217">
        <v>172762755</v>
      </c>
      <c r="AA16" s="209">
        <v>172762755</v>
      </c>
      <c r="AB16" s="209">
        <v>172762755</v>
      </c>
      <c r="AC16" s="209">
        <v>172762755</v>
      </c>
      <c r="AD16" s="209">
        <v>172762755</v>
      </c>
      <c r="AE16" s="209">
        <v>172762755</v>
      </c>
      <c r="AF16" s="225">
        <v>172762755</v>
      </c>
      <c r="AG16" s="226">
        <f>SUM(U16:AF16)</f>
        <v>2073153060</v>
      </c>
      <c r="AH16" s="123">
        <f t="shared" ref="AH16:AH30" si="0">+H16-AG16</f>
        <v>0</v>
      </c>
      <c r="AL16" s="474"/>
      <c r="AM16" s="475"/>
      <c r="AN16" s="474"/>
      <c r="AO16" s="475"/>
    </row>
    <row r="17" spans="1:48" ht="15">
      <c r="A17" s="11">
        <v>2</v>
      </c>
      <c r="B17" s="7" t="s">
        <v>27</v>
      </c>
      <c r="C17" s="147" t="s">
        <v>29</v>
      </c>
      <c r="D17" s="13">
        <f>9519511*12</f>
        <v>114234132</v>
      </c>
      <c r="E17" s="15"/>
      <c r="F17" s="14"/>
      <c r="G17" s="16"/>
      <c r="H17" s="324">
        <f>SUM(I17:T17)</f>
        <v>114234132</v>
      </c>
      <c r="I17" s="252">
        <v>9519511</v>
      </c>
      <c r="J17" s="217">
        <v>9519511</v>
      </c>
      <c r="K17" s="217">
        <v>9519511</v>
      </c>
      <c r="L17" s="217">
        <v>9519511</v>
      </c>
      <c r="M17" s="206">
        <v>9519511</v>
      </c>
      <c r="N17" s="217">
        <v>9519511</v>
      </c>
      <c r="O17" s="206">
        <v>9519511</v>
      </c>
      <c r="P17" s="206">
        <v>9519511</v>
      </c>
      <c r="Q17" s="206">
        <v>9519511</v>
      </c>
      <c r="R17" s="206">
        <v>9519511</v>
      </c>
      <c r="S17" s="206">
        <v>9519511</v>
      </c>
      <c r="T17" s="227">
        <v>9519511</v>
      </c>
      <c r="U17" s="235">
        <v>9519511</v>
      </c>
      <c r="V17" s="217">
        <v>9519511</v>
      </c>
      <c r="W17" s="217">
        <v>9519511</v>
      </c>
      <c r="X17" s="217">
        <v>9519511</v>
      </c>
      <c r="Y17" s="206">
        <v>9519511</v>
      </c>
      <c r="Z17" s="217">
        <v>9519511</v>
      </c>
      <c r="AA17" s="206">
        <v>9519511</v>
      </c>
      <c r="AB17" s="206">
        <v>9519511</v>
      </c>
      <c r="AC17" s="206">
        <v>9519511</v>
      </c>
      <c r="AD17" s="206">
        <v>9519511</v>
      </c>
      <c r="AE17" s="206">
        <v>9519511</v>
      </c>
      <c r="AF17" s="227">
        <v>9519511</v>
      </c>
      <c r="AG17" s="228">
        <f t="shared" ref="AG17:AG28" si="1">SUM(U17:AF17)</f>
        <v>114234132</v>
      </c>
      <c r="AH17" s="124">
        <f t="shared" si="0"/>
        <v>0</v>
      </c>
      <c r="AM17" s="473"/>
      <c r="AO17" s="473"/>
    </row>
    <row r="18" spans="1:48" ht="15">
      <c r="A18" s="11">
        <v>3</v>
      </c>
      <c r="B18" s="7" t="s">
        <v>28</v>
      </c>
      <c r="C18" s="147" t="s">
        <v>29</v>
      </c>
      <c r="D18" s="13">
        <f>-406855*12</f>
        <v>-4882260</v>
      </c>
      <c r="E18" s="15"/>
      <c r="F18" s="14"/>
      <c r="G18" s="16"/>
      <c r="H18" s="324">
        <f t="shared" ref="H18:H29" si="2">SUM(I18:T18)</f>
        <v>-4103756</v>
      </c>
      <c r="I18" s="252">
        <v>-406855</v>
      </c>
      <c r="J18" s="217">
        <v>-406855</v>
      </c>
      <c r="K18" s="217">
        <v>-406855</v>
      </c>
      <c r="L18" s="217">
        <v>-406855</v>
      </c>
      <c r="M18" s="206">
        <v>-309542</v>
      </c>
      <c r="N18" s="217">
        <v>-309542</v>
      </c>
      <c r="O18" s="206">
        <v>-309542</v>
      </c>
      <c r="P18" s="206">
        <v>-309542</v>
      </c>
      <c r="Q18" s="206">
        <v>-309542</v>
      </c>
      <c r="R18" s="206">
        <v>-309542</v>
      </c>
      <c r="S18" s="206">
        <v>-309542</v>
      </c>
      <c r="T18" s="227">
        <v>-309542</v>
      </c>
      <c r="U18" s="235">
        <v>-406855</v>
      </c>
      <c r="V18" s="217">
        <v>-406855</v>
      </c>
      <c r="W18" s="217">
        <v>-406855</v>
      </c>
      <c r="X18" s="217">
        <v>-406855</v>
      </c>
      <c r="Y18" s="206">
        <v>-309542</v>
      </c>
      <c r="Z18" s="217">
        <v>-309542</v>
      </c>
      <c r="AA18" s="206">
        <v>-309542</v>
      </c>
      <c r="AB18" s="206">
        <v>-309542</v>
      </c>
      <c r="AC18" s="206">
        <v>-309542</v>
      </c>
      <c r="AD18" s="206">
        <v>-309542</v>
      </c>
      <c r="AE18" s="206">
        <v>-309542</v>
      </c>
      <c r="AF18" s="227">
        <v>-309542</v>
      </c>
      <c r="AG18" s="228">
        <f t="shared" si="1"/>
        <v>-4103756</v>
      </c>
      <c r="AH18" s="124">
        <f t="shared" si="0"/>
        <v>0</v>
      </c>
      <c r="AM18" s="473"/>
      <c r="AO18" s="473"/>
    </row>
    <row r="19" spans="1:48" ht="15">
      <c r="A19" s="11">
        <v>4</v>
      </c>
      <c r="B19" s="7" t="s">
        <v>30</v>
      </c>
      <c r="C19" s="147" t="s">
        <v>29</v>
      </c>
      <c r="D19" s="13">
        <f>-844267*12</f>
        <v>-10131204</v>
      </c>
      <c r="E19" s="15"/>
      <c r="F19" s="14"/>
      <c r="G19" s="16"/>
      <c r="H19" s="324">
        <f t="shared" si="2"/>
        <v>-10131204</v>
      </c>
      <c r="I19" s="252">
        <v>-844267</v>
      </c>
      <c r="J19" s="217">
        <v>-844267</v>
      </c>
      <c r="K19" s="217">
        <v>-844267</v>
      </c>
      <c r="L19" s="217">
        <v>-844267</v>
      </c>
      <c r="M19" s="206">
        <v>-844267</v>
      </c>
      <c r="N19" s="217">
        <v>-844267</v>
      </c>
      <c r="O19" s="206">
        <v>-844267</v>
      </c>
      <c r="P19" s="206">
        <v>-844267</v>
      </c>
      <c r="Q19" s="206">
        <v>-844267</v>
      </c>
      <c r="R19" s="206">
        <v>-844267</v>
      </c>
      <c r="S19" s="206">
        <v>-844267</v>
      </c>
      <c r="T19" s="227">
        <v>-844267</v>
      </c>
      <c r="U19" s="235">
        <v>-844267</v>
      </c>
      <c r="V19" s="217">
        <v>-844267</v>
      </c>
      <c r="W19" s="217">
        <v>-844267</v>
      </c>
      <c r="X19" s="217">
        <v>-844267</v>
      </c>
      <c r="Y19" s="206">
        <v>-844267</v>
      </c>
      <c r="Z19" s="217">
        <v>-844267</v>
      </c>
      <c r="AA19" s="206">
        <v>-844267</v>
      </c>
      <c r="AB19" s="206">
        <v>-844267</v>
      </c>
      <c r="AC19" s="206">
        <v>-844267</v>
      </c>
      <c r="AD19" s="206">
        <v>-844267</v>
      </c>
      <c r="AE19" s="206">
        <v>-844267</v>
      </c>
      <c r="AF19" s="227">
        <v>-844267</v>
      </c>
      <c r="AG19" s="228">
        <f t="shared" si="1"/>
        <v>-10131204</v>
      </c>
      <c r="AH19" s="124">
        <f t="shared" si="0"/>
        <v>0</v>
      </c>
      <c r="AM19" s="473"/>
      <c r="AO19" s="473"/>
    </row>
    <row r="20" spans="1:48" ht="29.25" hidden="1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580851*12</f>
        <v>6970212</v>
      </c>
      <c r="E21" s="15"/>
      <c r="F21" s="14"/>
      <c r="G21" s="16"/>
      <c r="H21" s="324">
        <f t="shared" si="2"/>
        <v>6568285.6699999999</v>
      </c>
      <c r="I21" s="252">
        <v>580851</v>
      </c>
      <c r="J21" s="217">
        <v>613382</v>
      </c>
      <c r="K21" s="217">
        <v>597116.67000000004</v>
      </c>
      <c r="L21" s="217">
        <v>597117</v>
      </c>
      <c r="M21" s="206">
        <v>597117</v>
      </c>
      <c r="N21" s="217">
        <v>597117</v>
      </c>
      <c r="O21" s="206">
        <v>597117</v>
      </c>
      <c r="P21" s="206">
        <v>597117</v>
      </c>
      <c r="Q21" s="206">
        <v>597117</v>
      </c>
      <c r="R21" s="206">
        <v>597117</v>
      </c>
      <c r="S21" s="206">
        <v>597117</v>
      </c>
      <c r="T21" s="227"/>
      <c r="U21" s="235">
        <v>580851</v>
      </c>
      <c r="V21" s="217">
        <v>613382</v>
      </c>
      <c r="W21" s="217">
        <v>597117</v>
      </c>
      <c r="X21" s="217">
        <v>597117</v>
      </c>
      <c r="Y21" s="206">
        <v>597117</v>
      </c>
      <c r="Z21" s="65">
        <v>597117</v>
      </c>
      <c r="AA21" s="206">
        <v>597117</v>
      </c>
      <c r="AB21" s="206">
        <v>597117</v>
      </c>
      <c r="AC21" s="206">
        <v>597117</v>
      </c>
      <c r="AD21" s="206">
        <v>597117</v>
      </c>
      <c r="AE21" s="206">
        <v>597117</v>
      </c>
      <c r="AF21" s="227"/>
      <c r="AG21" s="228">
        <f t="shared" si="1"/>
        <v>6568286</v>
      </c>
      <c r="AH21" s="124">
        <f t="shared" si="0"/>
        <v>-0.33000000007450581</v>
      </c>
      <c r="AL21" s="474"/>
      <c r="AM21" s="475"/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103284256</v>
      </c>
      <c r="I22" s="252"/>
      <c r="J22" s="217"/>
      <c r="K22" s="217"/>
      <c r="L22" s="217">
        <v>26717112</v>
      </c>
      <c r="M22" s="206"/>
      <c r="N22" s="217">
        <v>25701403</v>
      </c>
      <c r="O22" s="206"/>
      <c r="P22" s="206"/>
      <c r="Q22" s="206">
        <v>25539634</v>
      </c>
      <c r="R22" s="206"/>
      <c r="S22" s="206"/>
      <c r="T22" s="227">
        <v>25326107</v>
      </c>
      <c r="U22" s="235"/>
      <c r="V22" s="217"/>
      <c r="W22" s="217"/>
      <c r="X22" s="217">
        <v>26717112</v>
      </c>
      <c r="Y22" s="206"/>
      <c r="Z22" s="65">
        <v>25701403</v>
      </c>
      <c r="AA22" s="206"/>
      <c r="AB22" s="206"/>
      <c r="AC22" s="206">
        <v>25539634</v>
      </c>
      <c r="AD22" s="206"/>
      <c r="AE22" s="206"/>
      <c r="AF22" s="227">
        <v>25326107</v>
      </c>
      <c r="AG22" s="228">
        <f>SUM(U22:AF22)</f>
        <v>103284256</v>
      </c>
      <c r="AH22" s="124">
        <f t="shared" si="0"/>
        <v>0</v>
      </c>
      <c r="AM22" s="473"/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119328385</v>
      </c>
      <c r="I23" s="252"/>
      <c r="J23" s="217"/>
      <c r="K23" s="217"/>
      <c r="L23" s="217">
        <v>30867336</v>
      </c>
      <c r="M23" s="206"/>
      <c r="N23" s="217">
        <v>29693847</v>
      </c>
      <c r="O23" s="206"/>
      <c r="P23" s="206"/>
      <c r="Q23" s="206">
        <v>29506949</v>
      </c>
      <c r="R23" s="206"/>
      <c r="S23" s="206"/>
      <c r="T23" s="227">
        <v>29260253</v>
      </c>
      <c r="U23" s="235"/>
      <c r="V23" s="217"/>
      <c r="W23" s="217"/>
      <c r="X23" s="217">
        <v>30867336</v>
      </c>
      <c r="Y23" s="206"/>
      <c r="Z23" s="65">
        <v>29693847</v>
      </c>
      <c r="AA23" s="206"/>
      <c r="AB23" s="206"/>
      <c r="AC23" s="206">
        <v>29506949</v>
      </c>
      <c r="AD23" s="206"/>
      <c r="AE23" s="206"/>
      <c r="AF23" s="227">
        <v>29260253</v>
      </c>
      <c r="AG23" s="228">
        <f>SUM(U23:AF23)</f>
        <v>119328385</v>
      </c>
      <c r="AH23" s="124">
        <f t="shared" si="0"/>
        <v>0</v>
      </c>
      <c r="AM23" s="473"/>
      <c r="AO23" s="473"/>
    </row>
    <row r="24" spans="1:48" ht="15">
      <c r="A24" s="11">
        <v>7</v>
      </c>
      <c r="B24" s="7" t="s">
        <v>33</v>
      </c>
      <c r="C24" s="147" t="s">
        <v>29</v>
      </c>
      <c r="D24" s="13">
        <f>387555*12</f>
        <v>4650660</v>
      </c>
      <c r="E24" s="15"/>
      <c r="F24" s="14"/>
      <c r="G24" s="16"/>
      <c r="H24" s="324">
        <f t="shared" si="2"/>
        <v>4650660</v>
      </c>
      <c r="I24" s="252">
        <v>387555</v>
      </c>
      <c r="J24" s="217">
        <v>387555</v>
      </c>
      <c r="K24" s="217">
        <v>387555</v>
      </c>
      <c r="L24" s="217">
        <v>387555</v>
      </c>
      <c r="M24" s="206">
        <v>387555</v>
      </c>
      <c r="N24" s="217">
        <v>387555</v>
      </c>
      <c r="O24" s="206">
        <v>387555</v>
      </c>
      <c r="P24" s="206">
        <v>387555</v>
      </c>
      <c r="Q24" s="206">
        <v>387555</v>
      </c>
      <c r="R24" s="206">
        <v>387555</v>
      </c>
      <c r="S24" s="206">
        <v>387555</v>
      </c>
      <c r="T24" s="227">
        <v>387555</v>
      </c>
      <c r="U24" s="235">
        <v>387555</v>
      </c>
      <c r="V24" s="217">
        <v>387555</v>
      </c>
      <c r="W24" s="217">
        <v>387555</v>
      </c>
      <c r="X24" s="217">
        <v>387555</v>
      </c>
      <c r="Y24" s="206">
        <v>387555</v>
      </c>
      <c r="Z24" s="65">
        <v>387555</v>
      </c>
      <c r="AA24" s="206">
        <v>387555</v>
      </c>
      <c r="AB24" s="206">
        <v>387555</v>
      </c>
      <c r="AC24" s="206">
        <v>387555</v>
      </c>
      <c r="AD24" s="206">
        <v>387555</v>
      </c>
      <c r="AE24" s="206">
        <v>387555</v>
      </c>
      <c r="AF24" s="227">
        <v>387555</v>
      </c>
      <c r="AG24" s="228">
        <f t="shared" si="1"/>
        <v>4650660</v>
      </c>
      <c r="AH24" s="124">
        <f t="shared" si="0"/>
        <v>0</v>
      </c>
      <c r="AM24" s="473"/>
    </row>
    <row r="25" spans="1:48" ht="15">
      <c r="A25" s="11">
        <v>8</v>
      </c>
      <c r="B25" s="7" t="s">
        <v>35</v>
      </c>
      <c r="C25" s="147" t="s">
        <v>29</v>
      </c>
      <c r="D25" s="13">
        <f>123684*12</f>
        <v>1484208</v>
      </c>
      <c r="E25" s="15"/>
      <c r="F25" s="14"/>
      <c r="G25" s="16"/>
      <c r="H25" s="324">
        <f>SUM(I25:T25)</f>
        <v>1484208.48306</v>
      </c>
      <c r="I25" s="252">
        <v>123684</v>
      </c>
      <c r="J25" s="217">
        <v>123684</v>
      </c>
      <c r="K25" s="217">
        <v>123684.48306</v>
      </c>
      <c r="L25" s="217">
        <v>123684</v>
      </c>
      <c r="M25" s="206">
        <v>123684</v>
      </c>
      <c r="N25" s="217">
        <v>123684</v>
      </c>
      <c r="O25" s="206">
        <v>123684</v>
      </c>
      <c r="P25" s="206">
        <v>123684</v>
      </c>
      <c r="Q25" s="206">
        <v>123684</v>
      </c>
      <c r="R25" s="206">
        <v>123684</v>
      </c>
      <c r="S25" s="206">
        <v>123684</v>
      </c>
      <c r="T25" s="227">
        <v>123684</v>
      </c>
      <c r="U25" s="235">
        <v>123684</v>
      </c>
      <c r="V25" s="217">
        <v>123684</v>
      </c>
      <c r="W25" s="217">
        <v>123684</v>
      </c>
      <c r="X25" s="217">
        <v>123684</v>
      </c>
      <c r="Y25" s="206">
        <v>123684</v>
      </c>
      <c r="Z25" s="65">
        <v>123684</v>
      </c>
      <c r="AA25" s="206">
        <v>123684</v>
      </c>
      <c r="AB25" s="206">
        <v>123684</v>
      </c>
      <c r="AC25" s="206">
        <v>123684</v>
      </c>
      <c r="AD25" s="206">
        <v>123684</v>
      </c>
      <c r="AE25" s="206">
        <v>123684</v>
      </c>
      <c r="AF25" s="227">
        <v>123684</v>
      </c>
      <c r="AG25" s="228">
        <f t="shared" si="1"/>
        <v>1484208</v>
      </c>
      <c r="AH25" s="124">
        <f t="shared" si="0"/>
        <v>0.4830599999986589</v>
      </c>
    </row>
    <row r="26" spans="1:48" ht="15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4">
        <f t="shared" si="2"/>
        <v>0</v>
      </c>
      <c r="I26" s="252"/>
      <c r="J26" s="217"/>
      <c r="K26" s="217"/>
      <c r="L26" s="217"/>
      <c r="M26" s="206"/>
      <c r="N26" s="217"/>
      <c r="O26" s="206"/>
      <c r="P26" s="206"/>
      <c r="Q26" s="206"/>
      <c r="R26" s="206"/>
      <c r="S26" s="206"/>
      <c r="T26" s="227"/>
      <c r="U26" s="235"/>
      <c r="V26" s="217"/>
      <c r="W26" s="217"/>
      <c r="X26" s="217"/>
      <c r="Y26" s="206"/>
      <c r="Z26" s="65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0</v>
      </c>
      <c r="I27" s="252"/>
      <c r="J27" s="217"/>
      <c r="K27" s="217"/>
      <c r="L27" s="217"/>
      <c r="M27" s="206"/>
      <c r="N27" s="217"/>
      <c r="O27" s="206"/>
      <c r="P27" s="206"/>
      <c r="Q27" s="206"/>
      <c r="R27" s="206"/>
      <c r="S27" s="206"/>
      <c r="T27" s="227"/>
      <c r="U27" s="235"/>
      <c r="V27" s="217"/>
      <c r="W27" s="217"/>
      <c r="X27" s="217"/>
      <c r="Y27" s="206"/>
      <c r="Z27" s="65"/>
      <c r="AA27" s="206"/>
      <c r="AB27" s="206"/>
      <c r="AC27" s="206"/>
      <c r="AD27" s="206"/>
      <c r="AE27" s="206"/>
      <c r="AF27" s="227"/>
      <c r="AG27" s="228">
        <f t="shared" si="1"/>
        <v>0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0</v>
      </c>
      <c r="I28" s="252"/>
      <c r="J28" s="217"/>
      <c r="K28" s="217"/>
      <c r="L28" s="217"/>
      <c r="M28" s="206"/>
      <c r="N28" s="217"/>
      <c r="O28" s="206"/>
      <c r="P28" s="206"/>
      <c r="Q28" s="206"/>
      <c r="R28" s="206"/>
      <c r="S28" s="206"/>
      <c r="T28" s="227"/>
      <c r="U28" s="235"/>
      <c r="V28" s="217"/>
      <c r="W28" s="217"/>
      <c r="X28" s="217"/>
      <c r="Y28" s="206"/>
      <c r="Z28" s="65"/>
      <c r="AA28" s="206"/>
      <c r="AB28" s="206"/>
      <c r="AC28" s="206"/>
      <c r="AD28" s="206"/>
      <c r="AE28" s="206"/>
      <c r="AF28" s="227"/>
      <c r="AG28" s="228">
        <f t="shared" si="1"/>
        <v>0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24">
        <f t="shared" si="2"/>
        <v>33158544.241391223</v>
      </c>
      <c r="I29" s="252"/>
      <c r="J29" s="217"/>
      <c r="K29" s="217"/>
      <c r="L29" s="217"/>
      <c r="M29" s="206"/>
      <c r="N29" s="217"/>
      <c r="O29" s="206"/>
      <c r="P29" s="206"/>
      <c r="Q29" s="206"/>
      <c r="R29" s="206"/>
      <c r="S29" s="206">
        <v>33158544.241391223</v>
      </c>
      <c r="T29" s="227"/>
      <c r="U29" s="235"/>
      <c r="V29" s="217"/>
      <c r="W29" s="217"/>
      <c r="X29" s="217"/>
      <c r="Y29" s="206"/>
      <c r="Z29" s="65"/>
      <c r="AA29" s="206"/>
      <c r="AB29" s="206"/>
      <c r="AC29" s="206"/>
      <c r="AD29" s="206"/>
      <c r="AE29" s="206">
        <v>33158544.241391223</v>
      </c>
      <c r="AF29" s="227"/>
      <c r="AG29" s="228">
        <f>SUM(U29:AF29)</f>
        <v>33158544.241391223</v>
      </c>
      <c r="AH29" s="124">
        <f>+H29-AG29</f>
        <v>0</v>
      </c>
    </row>
    <row r="30" spans="1:48" ht="15.75" thickBot="1">
      <c r="A30" s="743" t="s">
        <v>36</v>
      </c>
      <c r="B30" s="744"/>
      <c r="C30" s="89"/>
      <c r="D30" s="90">
        <f>SUM(D16:D26)</f>
        <v>2185478808</v>
      </c>
      <c r="E30" s="91"/>
      <c r="F30" s="92"/>
      <c r="G30" s="93"/>
      <c r="H30" s="362">
        <f>SUM(H16:H28)</f>
        <v>2408468027.15306</v>
      </c>
      <c r="I30" s="363">
        <f>SUM(I16:I28)</f>
        <v>182123234</v>
      </c>
      <c r="J30" s="363">
        <f t="shared" ref="J30:O30" si="3">SUM(J16:J28)</f>
        <v>182155765</v>
      </c>
      <c r="K30" s="363">
        <f t="shared" si="3"/>
        <v>182139500.15305999</v>
      </c>
      <c r="L30" s="363">
        <f t="shared" si="3"/>
        <v>239723948</v>
      </c>
      <c r="M30" s="363">
        <f t="shared" si="3"/>
        <v>182236813</v>
      </c>
      <c r="N30" s="363">
        <f t="shared" si="3"/>
        <v>237632063</v>
      </c>
      <c r="O30" s="363">
        <f t="shared" si="3"/>
        <v>182236813</v>
      </c>
      <c r="P30" s="363">
        <f t="shared" ref="P30:AF30" si="4">SUM(P16:P28)</f>
        <v>182236813</v>
      </c>
      <c r="Q30" s="363">
        <f t="shared" si="4"/>
        <v>237283396</v>
      </c>
      <c r="R30" s="363">
        <f t="shared" si="4"/>
        <v>182236813</v>
      </c>
      <c r="S30" s="363">
        <f t="shared" si="4"/>
        <v>182236813</v>
      </c>
      <c r="T30" s="363">
        <f t="shared" si="4"/>
        <v>236226056</v>
      </c>
      <c r="U30" s="211">
        <f t="shared" si="4"/>
        <v>182123234</v>
      </c>
      <c r="V30" s="211">
        <f t="shared" si="4"/>
        <v>182155765</v>
      </c>
      <c r="W30" s="211">
        <f t="shared" si="4"/>
        <v>182139500</v>
      </c>
      <c r="X30" s="211">
        <f t="shared" si="4"/>
        <v>239723948</v>
      </c>
      <c r="Y30" s="211">
        <f t="shared" si="4"/>
        <v>182236813</v>
      </c>
      <c r="Z30" s="211">
        <f t="shared" si="4"/>
        <v>237632063</v>
      </c>
      <c r="AA30" s="211">
        <f t="shared" si="4"/>
        <v>182236813</v>
      </c>
      <c r="AB30" s="211">
        <f t="shared" si="4"/>
        <v>182236813</v>
      </c>
      <c r="AC30" s="211">
        <f t="shared" si="4"/>
        <v>237283396</v>
      </c>
      <c r="AD30" s="211">
        <f t="shared" si="4"/>
        <v>182236813</v>
      </c>
      <c r="AE30" s="211">
        <f t="shared" si="4"/>
        <v>182236813</v>
      </c>
      <c r="AF30" s="211">
        <f t="shared" si="4"/>
        <v>236226056</v>
      </c>
      <c r="AG30" s="339">
        <f>SUM(U30:AF30)</f>
        <v>2408468027</v>
      </c>
      <c r="AH30" s="119">
        <f t="shared" si="0"/>
        <v>0.15305995941162109</v>
      </c>
    </row>
    <row r="31" spans="1:48" ht="15" thickBot="1">
      <c r="D31" s="265">
        <v>11821544</v>
      </c>
      <c r="E31" s="5">
        <v>0.7</v>
      </c>
      <c r="F31" s="5">
        <v>0.3</v>
      </c>
      <c r="G31" s="5">
        <v>8.3333333333333329E-2</v>
      </c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74" t="s">
        <v>38</v>
      </c>
      <c r="I32" s="775"/>
      <c r="J32" s="775"/>
      <c r="K32" s="775"/>
      <c r="L32" s="775"/>
      <c r="M32" s="775"/>
      <c r="N32" s="776"/>
      <c r="O32" s="777"/>
      <c r="P32" s="777"/>
      <c r="Q32" s="777"/>
      <c r="R32" s="777"/>
      <c r="S32" s="777"/>
      <c r="T32" s="778"/>
      <c r="U32" s="768" t="s">
        <v>39</v>
      </c>
      <c r="V32" s="769"/>
      <c r="W32" s="769"/>
      <c r="X32" s="769"/>
      <c r="Y32" s="769"/>
      <c r="Z32" s="769"/>
      <c r="AA32" s="769"/>
      <c r="AB32" s="769"/>
      <c r="AC32" s="769"/>
      <c r="AD32" s="769"/>
      <c r="AE32" s="769"/>
      <c r="AF32" s="769"/>
      <c r="AG32" s="770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0" ht="45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7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0" ht="15.75" thickBot="1">
      <c r="A34" s="573">
        <v>1</v>
      </c>
      <c r="B34" s="608" t="s">
        <v>99</v>
      </c>
      <c r="C34" s="615">
        <v>1386</v>
      </c>
      <c r="D34" s="610">
        <v>568909</v>
      </c>
      <c r="E34" s="611">
        <f>+D34*$E$31</f>
        <v>398236.3</v>
      </c>
      <c r="F34" s="612">
        <f>+D34*$F$31</f>
        <v>170672.69999999998</v>
      </c>
      <c r="G34" s="613"/>
      <c r="H34" s="334">
        <f>SUM(I34:T34)</f>
        <v>568909</v>
      </c>
      <c r="I34" s="331"/>
      <c r="J34" s="249"/>
      <c r="K34" s="250">
        <v>398236.3</v>
      </c>
      <c r="L34" s="212"/>
      <c r="M34" s="212"/>
      <c r="N34" s="212"/>
      <c r="O34" s="212"/>
      <c r="P34" s="212"/>
      <c r="Q34" s="212"/>
      <c r="R34" s="212">
        <v>170672.69999999998</v>
      </c>
      <c r="S34" s="212"/>
      <c r="T34" s="248"/>
      <c r="U34" s="234"/>
      <c r="V34" s="220"/>
      <c r="W34" s="209">
        <v>398236.3</v>
      </c>
      <c r="X34" s="209"/>
      <c r="Y34" s="209"/>
      <c r="Z34" s="209"/>
      <c r="AA34" s="209"/>
      <c r="AB34" s="209"/>
      <c r="AC34" s="209"/>
      <c r="AD34" s="209"/>
      <c r="AE34" s="209">
        <v>170672.69999999998</v>
      </c>
      <c r="AF34" s="209"/>
      <c r="AG34" s="218">
        <f>SUM(U34:AF34)</f>
        <v>568909</v>
      </c>
      <c r="AH34" s="123">
        <f t="shared" ref="AH34:AH67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568909</v>
      </c>
    </row>
    <row r="35" spans="1:50" ht="15">
      <c r="A35" s="573">
        <v>2</v>
      </c>
      <c r="B35" s="608" t="s">
        <v>100</v>
      </c>
      <c r="C35" s="615">
        <v>1386</v>
      </c>
      <c r="D35" s="610">
        <v>22804320</v>
      </c>
      <c r="E35" s="583">
        <f>+D35*$E$31</f>
        <v>15963023.999999998</v>
      </c>
      <c r="F35" s="584">
        <f>+D35*$F$31</f>
        <v>6841296</v>
      </c>
      <c r="G35" s="614"/>
      <c r="H35" s="324">
        <f>SUM(I35:T35)</f>
        <v>22804320</v>
      </c>
      <c r="I35" s="250"/>
      <c r="J35" s="251"/>
      <c r="K35" s="250">
        <v>15963023.999999998</v>
      </c>
      <c r="L35" s="212"/>
      <c r="M35" s="212"/>
      <c r="N35" s="212"/>
      <c r="O35" s="212"/>
      <c r="P35" s="212"/>
      <c r="Q35" s="212"/>
      <c r="R35" s="212">
        <v>6841296</v>
      </c>
      <c r="S35" s="212"/>
      <c r="T35" s="248"/>
      <c r="U35" s="237"/>
      <c r="V35" s="217"/>
      <c r="W35" s="212">
        <v>15963023.999999998</v>
      </c>
      <c r="X35" s="212"/>
      <c r="Y35" s="212"/>
      <c r="Z35" s="212"/>
      <c r="AA35" s="212"/>
      <c r="AB35" s="212"/>
      <c r="AC35" s="212"/>
      <c r="AD35" s="212"/>
      <c r="AE35" s="212">
        <v>6841296</v>
      </c>
      <c r="AF35" s="212"/>
      <c r="AG35" s="218">
        <f>SUM(U35:AF35)</f>
        <v>22804320</v>
      </c>
      <c r="AH35" s="123">
        <f t="shared" si="5"/>
        <v>0</v>
      </c>
      <c r="AI35" s="170">
        <f>+AH34+AH35</f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1">
        <f t="shared" ref="AX35:AX77" si="6">+AG35-AW35</f>
        <v>22804320</v>
      </c>
    </row>
    <row r="36" spans="1:50" ht="15">
      <c r="A36" s="573">
        <v>3</v>
      </c>
      <c r="B36" s="575" t="s">
        <v>74</v>
      </c>
      <c r="C36" s="576">
        <v>2533</v>
      </c>
      <c r="D36" s="577">
        <v>150921716</v>
      </c>
      <c r="E36" s="578">
        <f>+D36*G31</f>
        <v>12576809.666666666</v>
      </c>
      <c r="F36" s="579">
        <f>+D36*G31</f>
        <v>12576809.666666666</v>
      </c>
      <c r="G36" s="580">
        <f>+D36*G31</f>
        <v>12576809.666666666</v>
      </c>
      <c r="H36" s="324">
        <f t="shared" ref="H36:H82" si="7">SUM(I36:T36)</f>
        <v>150921716</v>
      </c>
      <c r="I36" s="252"/>
      <c r="J36" s="251"/>
      <c r="K36" s="252"/>
      <c r="L36" s="206"/>
      <c r="M36" s="206">
        <v>62884048</v>
      </c>
      <c r="N36" s="206">
        <v>12576810</v>
      </c>
      <c r="O36" s="212">
        <v>12576810</v>
      </c>
      <c r="P36" s="212">
        <v>12576810</v>
      </c>
      <c r="Q36" s="212">
        <v>12576809</v>
      </c>
      <c r="R36" s="212">
        <v>12576810</v>
      </c>
      <c r="S36" s="212">
        <v>12576810</v>
      </c>
      <c r="T36" s="248">
        <v>12576809</v>
      </c>
      <c r="U36" s="235"/>
      <c r="V36" s="217"/>
      <c r="W36" s="206"/>
      <c r="X36" s="206"/>
      <c r="Y36" s="206">
        <v>62884048</v>
      </c>
      <c r="Z36" s="206">
        <v>12576810</v>
      </c>
      <c r="AA36" s="206">
        <v>12576810</v>
      </c>
      <c r="AB36" s="206">
        <v>12576810</v>
      </c>
      <c r="AC36" s="206">
        <v>12576809</v>
      </c>
      <c r="AD36" s="206">
        <v>12576810</v>
      </c>
      <c r="AE36" s="206"/>
      <c r="AF36" s="206">
        <v>12576809</v>
      </c>
      <c r="AG36" s="219">
        <f>SUM(U36:AF36)</f>
        <v>138344906</v>
      </c>
      <c r="AH36" s="124">
        <f t="shared" si="5"/>
        <v>12576810</v>
      </c>
      <c r="AK36" s="235"/>
      <c r="AL36" s="217"/>
      <c r="AM36" s="206"/>
      <c r="AN36" s="206"/>
      <c r="AO36" s="206"/>
      <c r="AP36" s="206"/>
      <c r="AQ36" s="206"/>
      <c r="AR36" s="206">
        <v>116673288</v>
      </c>
      <c r="AS36" s="206"/>
      <c r="AT36" s="206"/>
      <c r="AU36" s="206"/>
      <c r="AV36" s="227">
        <v>83824598</v>
      </c>
      <c r="AW36" s="228">
        <f>SUM(AK36:AV36)</f>
        <v>200497886</v>
      </c>
      <c r="AX36" s="431">
        <f t="shared" si="6"/>
        <v>-62152980</v>
      </c>
    </row>
    <row r="37" spans="1:50" ht="15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8"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9">SUM(AK37:AV37)</f>
        <v>0</v>
      </c>
      <c r="AX37" s="431">
        <f t="shared" si="6"/>
        <v>0</v>
      </c>
    </row>
    <row r="38" spans="1:50" ht="15">
      <c r="A38" s="573">
        <v>5</v>
      </c>
      <c r="B38" s="575" t="s">
        <v>101</v>
      </c>
      <c r="C38" s="576">
        <v>1262</v>
      </c>
      <c r="D38" s="577">
        <v>32958643</v>
      </c>
      <c r="E38" s="578">
        <f>+D38*$E$31</f>
        <v>23071050.099999998</v>
      </c>
      <c r="F38" s="579">
        <f>+D38*$F$31</f>
        <v>9887592.9000000004</v>
      </c>
      <c r="G38" s="580"/>
      <c r="H38" s="324">
        <f t="shared" si="7"/>
        <v>32958643</v>
      </c>
      <c r="I38" s="252"/>
      <c r="J38" s="251"/>
      <c r="K38" s="252">
        <v>23071050.099999998</v>
      </c>
      <c r="L38" s="206"/>
      <c r="M38" s="206"/>
      <c r="N38" s="206"/>
      <c r="O38" s="212"/>
      <c r="P38" s="212"/>
      <c r="Q38" s="212"/>
      <c r="R38" s="212">
        <v>9887592.9000000004</v>
      </c>
      <c r="S38" s="212"/>
      <c r="T38" s="248"/>
      <c r="U38" s="235"/>
      <c r="V38" s="217"/>
      <c r="W38" s="206">
        <v>23071050.099999998</v>
      </c>
      <c r="X38" s="206"/>
      <c r="Y38" s="206"/>
      <c r="Z38" s="206"/>
      <c r="AA38" s="206"/>
      <c r="AB38" s="206"/>
      <c r="AC38" s="206"/>
      <c r="AD38" s="206">
        <v>9887592.9000000004</v>
      </c>
      <c r="AE38" s="206"/>
      <c r="AF38" s="206"/>
      <c r="AG38" s="219">
        <f t="shared" si="8"/>
        <v>32958643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 t="shared" si="9"/>
        <v>0</v>
      </c>
      <c r="AX38" s="431">
        <f t="shared" si="6"/>
        <v>32958643</v>
      </c>
    </row>
    <row r="39" spans="1:50" ht="15">
      <c r="A39" s="573">
        <v>6</v>
      </c>
      <c r="B39" s="575" t="s">
        <v>102</v>
      </c>
      <c r="C39" s="576">
        <v>1262</v>
      </c>
      <c r="D39" s="577">
        <v>4890600</v>
      </c>
      <c r="E39" s="578">
        <f>+D39*$E$31</f>
        <v>3423420</v>
      </c>
      <c r="F39" s="579">
        <f>+D39*$F$31</f>
        <v>1467180</v>
      </c>
      <c r="G39" s="580"/>
      <c r="H39" s="324">
        <f t="shared" si="7"/>
        <v>4890600</v>
      </c>
      <c r="I39" s="252"/>
      <c r="J39" s="251"/>
      <c r="K39" s="252">
        <v>3423420</v>
      </c>
      <c r="L39" s="206"/>
      <c r="M39" s="206"/>
      <c r="N39" s="206"/>
      <c r="O39" s="212"/>
      <c r="P39" s="212"/>
      <c r="Q39" s="212"/>
      <c r="R39" s="212">
        <v>1467180</v>
      </c>
      <c r="S39" s="212"/>
      <c r="T39" s="248"/>
      <c r="U39" s="235"/>
      <c r="V39" s="217"/>
      <c r="W39" s="206">
        <v>3423420</v>
      </c>
      <c r="X39" s="206"/>
      <c r="Y39" s="206"/>
      <c r="Z39" s="206"/>
      <c r="AA39" s="206"/>
      <c r="AB39" s="206"/>
      <c r="AC39" s="206"/>
      <c r="AD39" s="206">
        <v>1467180</v>
      </c>
      <c r="AE39" s="206"/>
      <c r="AF39" s="206"/>
      <c r="AG39" s="219">
        <f t="shared" si="8"/>
        <v>4890600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si="9"/>
        <v>0</v>
      </c>
      <c r="AX39" s="431">
        <f t="shared" si="6"/>
        <v>4890600</v>
      </c>
    </row>
    <row r="40" spans="1:50" ht="15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1">
        <f t="shared" si="6"/>
        <v>0</v>
      </c>
    </row>
    <row r="41" spans="1:50" ht="15">
      <c r="A41" s="18">
        <v>8</v>
      </c>
      <c r="B41" s="7" t="s">
        <v>76</v>
      </c>
      <c r="C41" s="147"/>
      <c r="D41" s="13"/>
      <c r="E41" s="142"/>
      <c r="F41" s="143"/>
      <c r="G41" s="160"/>
      <c r="H41" s="324">
        <f t="shared" si="7"/>
        <v>0</v>
      </c>
      <c r="I41" s="252"/>
      <c r="J41" s="251"/>
      <c r="K41" s="252"/>
      <c r="L41" s="206"/>
      <c r="M41" s="206"/>
      <c r="N41" s="206"/>
      <c r="O41" s="212"/>
      <c r="P41" s="212"/>
      <c r="Q41" s="212"/>
      <c r="R41" s="212"/>
      <c r="S41" s="212"/>
      <c r="T41" s="248"/>
      <c r="U41" s="235"/>
      <c r="V41" s="217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19">
        <f t="shared" si="8"/>
        <v>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9"/>
        <v>0</v>
      </c>
      <c r="AX41" s="431">
        <f t="shared" si="6"/>
        <v>0</v>
      </c>
    </row>
    <row r="42" spans="1:50" ht="29.25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6"/>
        <v>0</v>
      </c>
    </row>
    <row r="43" spans="1:50" ht="15">
      <c r="A43" s="573">
        <v>10</v>
      </c>
      <c r="B43" s="575" t="s">
        <v>104</v>
      </c>
      <c r="C43" s="576">
        <v>1906</v>
      </c>
      <c r="D43" s="577">
        <v>16004747</v>
      </c>
      <c r="E43" s="578">
        <f>+D43*E31</f>
        <v>11203322.899999999</v>
      </c>
      <c r="F43" s="579">
        <f>+D43*F31</f>
        <v>4801424.0999999996</v>
      </c>
      <c r="G43" s="580"/>
      <c r="H43" s="324">
        <f t="shared" si="7"/>
        <v>16004747</v>
      </c>
      <c r="I43" s="252"/>
      <c r="J43" s="251"/>
      <c r="K43" s="252">
        <v>11203323</v>
      </c>
      <c r="L43" s="206"/>
      <c r="M43" s="206"/>
      <c r="N43" s="206"/>
      <c r="O43" s="212"/>
      <c r="P43" s="212"/>
      <c r="Q43" s="212"/>
      <c r="R43" s="212">
        <v>4801424</v>
      </c>
      <c r="S43" s="212"/>
      <c r="T43" s="248"/>
      <c r="U43" s="235"/>
      <c r="V43" s="217"/>
      <c r="W43" s="206">
        <v>11203323</v>
      </c>
      <c r="X43" s="206"/>
      <c r="Y43" s="206"/>
      <c r="Z43" s="206"/>
      <c r="AA43" s="206"/>
      <c r="AB43" s="206"/>
      <c r="AC43" s="206"/>
      <c r="AD43" s="206">
        <v>4801424</v>
      </c>
      <c r="AE43" s="206"/>
      <c r="AF43" s="206"/>
      <c r="AG43" s="219">
        <f t="shared" si="8"/>
        <v>16004747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>
        <v>10070702</v>
      </c>
      <c r="AU43" s="206"/>
      <c r="AV43" s="227"/>
      <c r="AW43" s="228">
        <f t="shared" si="9"/>
        <v>10070702</v>
      </c>
      <c r="AX43" s="431">
        <f t="shared" si="6"/>
        <v>5934045</v>
      </c>
    </row>
    <row r="44" spans="1:50" ht="15">
      <c r="A44" s="18">
        <v>11</v>
      </c>
      <c r="B44" s="7" t="s">
        <v>78</v>
      </c>
      <c r="C44" s="147"/>
      <c r="D44" s="13"/>
      <c r="E44" s="142"/>
      <c r="F44" s="143"/>
      <c r="G44" s="160"/>
      <c r="H44" s="324">
        <f t="shared" si="7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1">
        <f t="shared" si="6"/>
        <v>0</v>
      </c>
    </row>
    <row r="45" spans="1:50" s="190" customFormat="1" ht="28.5">
      <c r="A45" s="573">
        <v>12</v>
      </c>
      <c r="B45" s="618" t="s">
        <v>79</v>
      </c>
      <c r="C45" s="603">
        <v>1902</v>
      </c>
      <c r="D45" s="597">
        <v>57307634</v>
      </c>
      <c r="E45" s="598">
        <f>+D45*E31</f>
        <v>40115343.799999997</v>
      </c>
      <c r="F45" s="599">
        <f>+D45*F31</f>
        <v>17192290.199999999</v>
      </c>
      <c r="G45" s="600"/>
      <c r="H45" s="324">
        <f t="shared" si="7"/>
        <v>57307634</v>
      </c>
      <c r="I45" s="253"/>
      <c r="J45" s="232"/>
      <c r="K45" s="253">
        <v>40115344</v>
      </c>
      <c r="L45" s="231"/>
      <c r="M45" s="231"/>
      <c r="N45" s="231"/>
      <c r="O45" s="212"/>
      <c r="P45" s="212"/>
      <c r="Q45" s="212"/>
      <c r="R45" s="212">
        <v>17192290</v>
      </c>
      <c r="S45" s="212"/>
      <c r="T45" s="248"/>
      <c r="U45" s="238"/>
      <c r="V45" s="230"/>
      <c r="W45" s="231">
        <v>40115344</v>
      </c>
      <c r="X45" s="231"/>
      <c r="Y45" s="231"/>
      <c r="Z45" s="231"/>
      <c r="AA45" s="231"/>
      <c r="AB45" s="231"/>
      <c r="AC45" s="231"/>
      <c r="AD45" s="231"/>
      <c r="AE45" s="231">
        <v>17192290</v>
      </c>
      <c r="AF45" s="231"/>
      <c r="AG45" s="219">
        <f t="shared" si="8"/>
        <v>57307634</v>
      </c>
      <c r="AH45" s="124">
        <f t="shared" si="5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/>
      <c r="AU45" s="231"/>
      <c r="AV45" s="436"/>
      <c r="AW45" s="228">
        <f t="shared" si="9"/>
        <v>0</v>
      </c>
      <c r="AX45" s="431">
        <f t="shared" si="6"/>
        <v>57307634</v>
      </c>
    </row>
    <row r="46" spans="1:50" ht="15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>
        <f>SUM(V34:V45)</f>
        <v>0</v>
      </c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6"/>
        <v>0</v>
      </c>
    </row>
    <row r="47" spans="1:50" ht="13.5" customHeight="1">
      <c r="A47" s="573">
        <v>14</v>
      </c>
      <c r="B47" s="575" t="s">
        <v>81</v>
      </c>
      <c r="C47" s="576">
        <v>1908</v>
      </c>
      <c r="D47" s="577">
        <v>26506350</v>
      </c>
      <c r="E47" s="578">
        <f>+D47*E31</f>
        <v>18554445</v>
      </c>
      <c r="F47" s="579">
        <f>+D47*F31</f>
        <v>7951905</v>
      </c>
      <c r="G47" s="580"/>
      <c r="H47" s="324">
        <f t="shared" si="7"/>
        <v>26506350</v>
      </c>
      <c r="I47" s="252"/>
      <c r="J47" s="221"/>
      <c r="K47" s="252">
        <v>18554445</v>
      </c>
      <c r="L47" s="206"/>
      <c r="M47" s="206"/>
      <c r="N47" s="206"/>
      <c r="O47" s="212"/>
      <c r="P47" s="212"/>
      <c r="Q47" s="212"/>
      <c r="R47" s="212">
        <v>7951905</v>
      </c>
      <c r="S47" s="212"/>
      <c r="T47" s="248"/>
      <c r="U47" s="235"/>
      <c r="V47" s="206"/>
      <c r="W47" s="206">
        <v>18554445</v>
      </c>
      <c r="X47" s="206"/>
      <c r="Y47" s="206"/>
      <c r="Z47" s="206"/>
      <c r="AA47" s="206"/>
      <c r="AB47" s="206"/>
      <c r="AC47" s="206"/>
      <c r="AD47" s="206">
        <v>7951905</v>
      </c>
      <c r="AE47" s="206"/>
      <c r="AF47" s="206"/>
      <c r="AG47" s="219">
        <f t="shared" si="8"/>
        <v>26506350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0">SUM(AK47:AV47)</f>
        <v>0</v>
      </c>
      <c r="AX47" s="431">
        <f t="shared" si="6"/>
        <v>26506350</v>
      </c>
    </row>
    <row r="48" spans="1:50" ht="15">
      <c r="A48" s="573">
        <v>15</v>
      </c>
      <c r="B48" s="575" t="s">
        <v>82</v>
      </c>
      <c r="C48" s="576">
        <v>1438</v>
      </c>
      <c r="D48" s="577">
        <v>75570048</v>
      </c>
      <c r="E48" s="578">
        <f>+D48*G31</f>
        <v>6297504</v>
      </c>
      <c r="F48" s="579">
        <f>+D48*G31</f>
        <v>6297504</v>
      </c>
      <c r="G48" s="580">
        <f>+D48*G31</f>
        <v>6297504</v>
      </c>
      <c r="H48" s="324">
        <f t="shared" si="7"/>
        <v>75570048</v>
      </c>
      <c r="I48" s="252"/>
      <c r="J48" s="221"/>
      <c r="K48" s="252">
        <v>18892537</v>
      </c>
      <c r="L48" s="206">
        <v>6297479</v>
      </c>
      <c r="M48" s="206">
        <v>6297504</v>
      </c>
      <c r="N48" s="206">
        <v>6297504</v>
      </c>
      <c r="O48" s="212">
        <v>6297504</v>
      </c>
      <c r="P48" s="212">
        <v>6297504</v>
      </c>
      <c r="Q48" s="212">
        <v>6297504</v>
      </c>
      <c r="R48" s="212">
        <v>6297504</v>
      </c>
      <c r="S48" s="212">
        <v>6297504</v>
      </c>
      <c r="T48" s="248">
        <v>6297504</v>
      </c>
      <c r="U48" s="235"/>
      <c r="V48" s="206"/>
      <c r="W48" s="206">
        <v>18892512</v>
      </c>
      <c r="X48" s="206">
        <v>6297479</v>
      </c>
      <c r="Y48" s="206">
        <v>6297504</v>
      </c>
      <c r="Z48" s="206"/>
      <c r="AA48" s="206">
        <v>6297504</v>
      </c>
      <c r="AB48" s="206"/>
      <c r="AC48" s="206">
        <v>6297504</v>
      </c>
      <c r="AD48" s="206">
        <v>6297504</v>
      </c>
      <c r="AE48" s="206">
        <v>12595008</v>
      </c>
      <c r="AF48" s="206"/>
      <c r="AG48" s="219">
        <f t="shared" si="8"/>
        <v>62975015</v>
      </c>
      <c r="AH48" s="124">
        <f t="shared" si="5"/>
        <v>12595033</v>
      </c>
      <c r="AK48" s="235"/>
      <c r="AL48" s="206"/>
      <c r="AM48" s="206"/>
      <c r="AN48" s="206"/>
      <c r="AO48" s="206"/>
      <c r="AP48" s="206"/>
      <c r="AQ48" s="206"/>
      <c r="AR48" s="206">
        <v>17896872</v>
      </c>
      <c r="AS48" s="206"/>
      <c r="AT48" s="206">
        <v>22156644</v>
      </c>
      <c r="AU48" s="206"/>
      <c r="AV48" s="227">
        <v>5796288</v>
      </c>
      <c r="AW48" s="228">
        <f t="shared" si="10"/>
        <v>45849804</v>
      </c>
      <c r="AX48" s="431">
        <f t="shared" si="6"/>
        <v>17125211</v>
      </c>
    </row>
    <row r="49" spans="1:50" ht="15">
      <c r="A49" s="573">
        <v>16</v>
      </c>
      <c r="B49" s="575" t="s">
        <v>83</v>
      </c>
      <c r="C49" s="576">
        <v>1601</v>
      </c>
      <c r="D49" s="577">
        <v>16815568</v>
      </c>
      <c r="E49" s="578">
        <f>+D49*E31</f>
        <v>11770897.6</v>
      </c>
      <c r="F49" s="579">
        <f>+D49*F31</f>
        <v>5044670.3999999994</v>
      </c>
      <c r="G49" s="580"/>
      <c r="H49" s="324">
        <f t="shared" si="7"/>
        <v>16815567.600000001</v>
      </c>
      <c r="I49" s="252"/>
      <c r="J49" s="221"/>
      <c r="K49" s="252">
        <v>11770897.6</v>
      </c>
      <c r="L49" s="206"/>
      <c r="M49" s="206"/>
      <c r="N49" s="206"/>
      <c r="O49" s="212"/>
      <c r="P49" s="212"/>
      <c r="Q49" s="212"/>
      <c r="R49" s="212">
        <v>5044670</v>
      </c>
      <c r="S49" s="212"/>
      <c r="T49" s="248"/>
      <c r="U49" s="235"/>
      <c r="V49" s="206"/>
      <c r="W49" s="206">
        <v>11770898</v>
      </c>
      <c r="X49" s="206"/>
      <c r="Y49" s="206"/>
      <c r="Z49" s="206"/>
      <c r="AA49" s="206"/>
      <c r="AB49" s="206"/>
      <c r="AC49" s="206"/>
      <c r="AD49" s="206"/>
      <c r="AE49" s="206">
        <v>5044670</v>
      </c>
      <c r="AF49" s="206"/>
      <c r="AG49" s="219">
        <f t="shared" si="8"/>
        <v>16815568</v>
      </c>
      <c r="AH49" s="124">
        <f t="shared" si="5"/>
        <v>-0.39999999850988388</v>
      </c>
      <c r="AK49" s="235"/>
      <c r="AL49" s="206"/>
      <c r="AM49" s="206"/>
      <c r="AN49" s="206"/>
      <c r="AO49" s="206"/>
      <c r="AP49" s="206"/>
      <c r="AQ49" s="206"/>
      <c r="AR49" s="206"/>
      <c r="AS49" s="206"/>
      <c r="AT49" s="206">
        <v>11554610</v>
      </c>
      <c r="AU49" s="206"/>
      <c r="AV49" s="227"/>
      <c r="AW49" s="228">
        <f t="shared" si="10"/>
        <v>11554610</v>
      </c>
      <c r="AX49" s="431">
        <f t="shared" si="6"/>
        <v>5260958</v>
      </c>
    </row>
    <row r="50" spans="1:50" ht="15">
      <c r="A50" s="573">
        <v>17</v>
      </c>
      <c r="B50" s="575" t="s">
        <v>95</v>
      </c>
      <c r="C50" s="576">
        <v>1239</v>
      </c>
      <c r="D50" s="577">
        <v>4581525</v>
      </c>
      <c r="E50" s="578">
        <f>+D50*$E$31</f>
        <v>3207067.5</v>
      </c>
      <c r="F50" s="579">
        <f>+D50*$F$31</f>
        <v>1374457.5</v>
      </c>
      <c r="G50" s="580">
        <f>+D50-H50</f>
        <v>0</v>
      </c>
      <c r="H50" s="324">
        <f t="shared" si="7"/>
        <v>4581525</v>
      </c>
      <c r="I50" s="252"/>
      <c r="J50" s="221"/>
      <c r="K50" s="252">
        <v>3207067.5</v>
      </c>
      <c r="L50" s="206"/>
      <c r="M50" s="206"/>
      <c r="N50" s="206"/>
      <c r="O50" s="212"/>
      <c r="P50" s="212"/>
      <c r="Q50" s="212"/>
      <c r="R50" s="212">
        <v>1374457.5</v>
      </c>
      <c r="S50" s="212"/>
      <c r="T50" s="248"/>
      <c r="U50" s="235"/>
      <c r="V50" s="206"/>
      <c r="W50" s="206">
        <v>3207067.5</v>
      </c>
      <c r="X50" s="206"/>
      <c r="Y50" s="206"/>
      <c r="Z50" s="206"/>
      <c r="AA50" s="206"/>
      <c r="AB50" s="206"/>
      <c r="AC50" s="206"/>
      <c r="AD50" s="206"/>
      <c r="AE50" s="206">
        <v>1374457.5</v>
      </c>
      <c r="AF50" s="206"/>
      <c r="AG50" s="219">
        <f t="shared" si="8"/>
        <v>4581525</v>
      </c>
      <c r="AH50" s="124">
        <f t="shared" si="5"/>
        <v>0</v>
      </c>
      <c r="AI50" s="6"/>
      <c r="AJ50" s="473"/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0"/>
        <v>0</v>
      </c>
      <c r="AX50" s="431">
        <f t="shared" si="6"/>
        <v>4581525</v>
      </c>
    </row>
    <row r="51" spans="1:50" ht="15">
      <c r="A51" s="573">
        <v>18</v>
      </c>
      <c r="B51" s="575" t="s">
        <v>96</v>
      </c>
      <c r="C51" s="576">
        <v>1239</v>
      </c>
      <c r="D51" s="577">
        <v>60476130</v>
      </c>
      <c r="E51" s="578">
        <f>+D51*$E$31</f>
        <v>42333291</v>
      </c>
      <c r="F51" s="579">
        <f>+D51*$F$31</f>
        <v>18142839</v>
      </c>
      <c r="G51" s="580">
        <f>+D51-H51</f>
        <v>0</v>
      </c>
      <c r="H51" s="324">
        <f t="shared" si="7"/>
        <v>60476130</v>
      </c>
      <c r="I51" s="252"/>
      <c r="J51" s="221"/>
      <c r="K51" s="252">
        <v>42333291</v>
      </c>
      <c r="L51" s="206"/>
      <c r="M51" s="206"/>
      <c r="N51" s="206"/>
      <c r="O51" s="212"/>
      <c r="P51" s="212"/>
      <c r="Q51" s="212"/>
      <c r="R51" s="212">
        <v>6321295</v>
      </c>
      <c r="S51" s="212">
        <v>11821544</v>
      </c>
      <c r="T51" s="248"/>
      <c r="U51" s="235"/>
      <c r="V51" s="206"/>
      <c r="W51" s="206">
        <v>42333291</v>
      </c>
      <c r="X51" s="206"/>
      <c r="Y51" s="206"/>
      <c r="Z51" s="206"/>
      <c r="AA51" s="206"/>
      <c r="AB51" s="206"/>
      <c r="AC51" s="206"/>
      <c r="AD51" s="206"/>
      <c r="AE51" s="206">
        <v>6321295</v>
      </c>
      <c r="AF51" s="206"/>
      <c r="AG51" s="219">
        <f t="shared" si="8"/>
        <v>48654586</v>
      </c>
      <c r="AH51" s="124">
        <f t="shared" si="5"/>
        <v>11821544</v>
      </c>
      <c r="AI51" s="6"/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0"/>
        <v>0</v>
      </c>
      <c r="AX51" s="431">
        <f t="shared" si="6"/>
        <v>48654586</v>
      </c>
    </row>
    <row r="52" spans="1:50" ht="15">
      <c r="A52" s="573">
        <v>19</v>
      </c>
      <c r="B52" s="575" t="s">
        <v>97</v>
      </c>
      <c r="C52" s="576">
        <v>1239</v>
      </c>
      <c r="D52" s="577">
        <v>2109666</v>
      </c>
      <c r="E52" s="578">
        <f>+D52*$E$31</f>
        <v>1476766.2</v>
      </c>
      <c r="F52" s="579">
        <f>+D52*$F$31</f>
        <v>632899.79999999993</v>
      </c>
      <c r="G52" s="580">
        <f>+D52-H52</f>
        <v>0</v>
      </c>
      <c r="H52" s="324">
        <f t="shared" si="7"/>
        <v>2109666</v>
      </c>
      <c r="I52" s="252"/>
      <c r="J52" s="221"/>
      <c r="K52" s="252">
        <v>1476766.2</v>
      </c>
      <c r="L52" s="206"/>
      <c r="M52" s="206"/>
      <c r="N52" s="206"/>
      <c r="O52" s="212"/>
      <c r="P52" s="212"/>
      <c r="Q52" s="212"/>
      <c r="R52" s="212">
        <v>632899.79999999993</v>
      </c>
      <c r="S52" s="212"/>
      <c r="T52" s="248"/>
      <c r="U52" s="235"/>
      <c r="V52" s="206"/>
      <c r="W52" s="206">
        <v>1476766.2</v>
      </c>
      <c r="X52" s="206"/>
      <c r="Y52" s="206"/>
      <c r="Z52" s="206"/>
      <c r="AA52" s="206"/>
      <c r="AB52" s="206"/>
      <c r="AC52" s="206"/>
      <c r="AD52" s="206"/>
      <c r="AE52" s="206">
        <v>632899.79999999993</v>
      </c>
      <c r="AF52" s="206"/>
      <c r="AG52" s="219">
        <f t="shared" si="8"/>
        <v>2109666</v>
      </c>
      <c r="AH52" s="124">
        <f t="shared" si="5"/>
        <v>0</v>
      </c>
      <c r="AI52" s="6"/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0"/>
        <v>0</v>
      </c>
      <c r="AX52" s="431">
        <f t="shared" si="6"/>
        <v>2109666</v>
      </c>
    </row>
    <row r="53" spans="1:50" ht="15">
      <c r="A53" s="573">
        <v>20</v>
      </c>
      <c r="B53" s="575" t="s">
        <v>98</v>
      </c>
      <c r="C53" s="576">
        <v>1239</v>
      </c>
      <c r="D53" s="577">
        <v>3034031</v>
      </c>
      <c r="E53" s="578">
        <f>+D53*$E$31</f>
        <v>2123821.6999999997</v>
      </c>
      <c r="F53" s="579">
        <f>+D53*$F$31</f>
        <v>910209.29999999993</v>
      </c>
      <c r="G53" s="580">
        <f>+D53-H53</f>
        <v>0</v>
      </c>
      <c r="H53" s="324">
        <f t="shared" si="7"/>
        <v>3034030.9999999995</v>
      </c>
      <c r="I53" s="252"/>
      <c r="J53" s="221"/>
      <c r="K53" s="252">
        <v>2123821.6999999997</v>
      </c>
      <c r="L53" s="206"/>
      <c r="M53" s="206"/>
      <c r="N53" s="206"/>
      <c r="O53" s="212"/>
      <c r="P53" s="212"/>
      <c r="Q53" s="212"/>
      <c r="R53" s="212">
        <v>910209.29999999993</v>
      </c>
      <c r="S53" s="212"/>
      <c r="T53" s="248"/>
      <c r="U53" s="235"/>
      <c r="V53" s="206"/>
      <c r="W53" s="206">
        <v>2123821.6999999997</v>
      </c>
      <c r="X53" s="206"/>
      <c r="Y53" s="206"/>
      <c r="Z53" s="206"/>
      <c r="AA53" s="206"/>
      <c r="AB53" s="206"/>
      <c r="AC53" s="206"/>
      <c r="AD53" s="206"/>
      <c r="AE53" s="206">
        <v>910209.29999999993</v>
      </c>
      <c r="AF53" s="206"/>
      <c r="AG53" s="219">
        <f t="shared" si="8"/>
        <v>3034030.9999999995</v>
      </c>
      <c r="AH53" s="124">
        <f t="shared" si="5"/>
        <v>0</v>
      </c>
      <c r="AI53" s="6"/>
      <c r="AJ53" s="473"/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0"/>
        <v>0</v>
      </c>
      <c r="AX53" s="431">
        <f t="shared" si="6"/>
        <v>3034030.9999999995</v>
      </c>
    </row>
    <row r="54" spans="1:50" ht="15">
      <c r="A54" s="573">
        <v>21</v>
      </c>
      <c r="B54" s="575" t="s">
        <v>84</v>
      </c>
      <c r="C54" s="576">
        <v>2534</v>
      </c>
      <c r="D54" s="577">
        <v>13184560</v>
      </c>
      <c r="E54" s="578">
        <f>+D54*$E$31</f>
        <v>9229192</v>
      </c>
      <c r="F54" s="579">
        <f>+D54*$F$31</f>
        <v>3955368</v>
      </c>
      <c r="G54" s="580"/>
      <c r="H54" s="324">
        <f t="shared" si="7"/>
        <v>13184560</v>
      </c>
      <c r="I54" s="252"/>
      <c r="J54" s="221"/>
      <c r="K54" s="252"/>
      <c r="L54" s="206"/>
      <c r="M54" s="206">
        <v>9229192</v>
      </c>
      <c r="N54" s="206"/>
      <c r="O54" s="212"/>
      <c r="P54" s="212"/>
      <c r="Q54" s="212"/>
      <c r="R54" s="212">
        <v>3955368</v>
      </c>
      <c r="S54" s="212"/>
      <c r="T54" s="248"/>
      <c r="U54" s="235"/>
      <c r="V54" s="206"/>
      <c r="W54" s="206"/>
      <c r="X54" s="206"/>
      <c r="Y54" s="206">
        <v>9229192</v>
      </c>
      <c r="Z54" s="206"/>
      <c r="AA54" s="206"/>
      <c r="AB54" s="206"/>
      <c r="AC54" s="206"/>
      <c r="AD54" s="206">
        <v>3955368</v>
      </c>
      <c r="AE54" s="206"/>
      <c r="AF54" s="206"/>
      <c r="AG54" s="219">
        <f t="shared" si="8"/>
        <v>13184560</v>
      </c>
      <c r="AH54" s="124">
        <f t="shared" si="5"/>
        <v>0</v>
      </c>
      <c r="AI54" s="170"/>
      <c r="AK54" s="235"/>
      <c r="AL54" s="206"/>
      <c r="AM54" s="206"/>
      <c r="AN54" s="206"/>
      <c r="AO54" s="206"/>
      <c r="AP54" s="206"/>
      <c r="AQ54" s="206"/>
      <c r="AR54" s="206"/>
      <c r="AS54" s="206"/>
      <c r="AT54" s="206">
        <v>2399625</v>
      </c>
      <c r="AU54" s="206"/>
      <c r="AV54" s="227"/>
      <c r="AW54" s="228">
        <f t="shared" si="10"/>
        <v>2399625</v>
      </c>
      <c r="AX54" s="431">
        <f t="shared" si="6"/>
        <v>10784935</v>
      </c>
    </row>
    <row r="55" spans="1:50" ht="15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7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1">
        <f t="shared" si="6"/>
        <v>0</v>
      </c>
    </row>
    <row r="56" spans="1:50" ht="15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1">
        <f t="shared" si="6"/>
        <v>0</v>
      </c>
    </row>
    <row r="57" spans="1:50" ht="15">
      <c r="A57" s="573">
        <v>24</v>
      </c>
      <c r="B57" s="575" t="s">
        <v>87</v>
      </c>
      <c r="C57" s="576">
        <v>1848</v>
      </c>
      <c r="D57" s="577">
        <v>10373959</v>
      </c>
      <c r="E57" s="578">
        <f>+D57*E31</f>
        <v>7261771.2999999998</v>
      </c>
      <c r="F57" s="579">
        <f>+D57*F31</f>
        <v>3112187.6999999997</v>
      </c>
      <c r="G57" s="580"/>
      <c r="H57" s="324">
        <f t="shared" si="7"/>
        <v>10373959</v>
      </c>
      <c r="I57" s="252"/>
      <c r="J57" s="221"/>
      <c r="K57" s="252">
        <v>7261771</v>
      </c>
      <c r="L57" s="206"/>
      <c r="M57" s="206">
        <v>7261771</v>
      </c>
      <c r="N57" s="206">
        <v>-7261771</v>
      </c>
      <c r="O57" s="212"/>
      <c r="P57" s="212"/>
      <c r="Q57" s="212"/>
      <c r="R57" s="212">
        <v>3112188</v>
      </c>
      <c r="S57" s="212"/>
      <c r="T57" s="248"/>
      <c r="U57" s="235"/>
      <c r="V57" s="206"/>
      <c r="W57" s="206">
        <v>7261771</v>
      </c>
      <c r="X57" s="206"/>
      <c r="Y57" s="206">
        <v>7261771</v>
      </c>
      <c r="Z57" s="206">
        <v>-7261771</v>
      </c>
      <c r="AA57" s="206"/>
      <c r="AB57" s="206"/>
      <c r="AC57" s="206"/>
      <c r="AD57" s="206">
        <v>3112188</v>
      </c>
      <c r="AE57" s="206"/>
      <c r="AF57" s="206"/>
      <c r="AG57" s="219">
        <f t="shared" si="8"/>
        <v>10373959</v>
      </c>
      <c r="AH57" s="124">
        <f t="shared" si="5"/>
        <v>0</v>
      </c>
      <c r="AK57" s="235">
        <v>0</v>
      </c>
      <c r="AL57" s="206">
        <v>0</v>
      </c>
      <c r="AM57" s="206">
        <v>0</v>
      </c>
      <c r="AN57" s="206"/>
      <c r="AO57" s="206"/>
      <c r="AP57" s="206"/>
      <c r="AQ57" s="206"/>
      <c r="AR57" s="206">
        <v>4678198</v>
      </c>
      <c r="AS57" s="206"/>
      <c r="AT57" s="206"/>
      <c r="AU57" s="206"/>
      <c r="AV57" s="227">
        <v>855996</v>
      </c>
      <c r="AW57" s="228">
        <f t="shared" si="10"/>
        <v>5534194</v>
      </c>
      <c r="AX57" s="431">
        <f t="shared" si="6"/>
        <v>4839765</v>
      </c>
    </row>
    <row r="58" spans="1:50" ht="29.25">
      <c r="A58" s="573">
        <v>25</v>
      </c>
      <c r="B58" s="601" t="s">
        <v>109</v>
      </c>
      <c r="C58" s="576">
        <v>1851</v>
      </c>
      <c r="D58" s="577">
        <v>6069505</v>
      </c>
      <c r="E58" s="578">
        <f>+D58*E31</f>
        <v>4248653.5</v>
      </c>
      <c r="F58" s="579">
        <f>+D58*F31</f>
        <v>1820851.5</v>
      </c>
      <c r="G58" s="580"/>
      <c r="H58" s="324">
        <f t="shared" si="7"/>
        <v>6069505</v>
      </c>
      <c r="I58" s="252"/>
      <c r="J58" s="221"/>
      <c r="K58" s="252">
        <v>4248653</v>
      </c>
      <c r="L58" s="206"/>
      <c r="M58" s="206"/>
      <c r="N58" s="206"/>
      <c r="O58" s="212"/>
      <c r="P58" s="212"/>
      <c r="Q58" s="212"/>
      <c r="R58" s="212">
        <v>1820852</v>
      </c>
      <c r="S58" s="212"/>
      <c r="T58" s="248"/>
      <c r="U58" s="235"/>
      <c r="V58" s="206"/>
      <c r="W58" s="206">
        <v>4248653</v>
      </c>
      <c r="X58" s="206"/>
      <c r="Y58" s="206"/>
      <c r="Z58" s="206"/>
      <c r="AA58" s="206"/>
      <c r="AB58" s="206"/>
      <c r="AC58" s="206"/>
      <c r="AD58" s="206">
        <v>1820852</v>
      </c>
      <c r="AE58" s="206"/>
      <c r="AF58" s="206"/>
      <c r="AG58" s="219">
        <f t="shared" si="8"/>
        <v>6069505</v>
      </c>
      <c r="AH58" s="124">
        <f t="shared" si="5"/>
        <v>0</v>
      </c>
      <c r="AK58" s="235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27"/>
      <c r="AW58" s="228">
        <f t="shared" si="10"/>
        <v>0</v>
      </c>
      <c r="AX58" s="431">
        <f t="shared" si="6"/>
        <v>6069505</v>
      </c>
    </row>
    <row r="59" spans="1:50" ht="15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6"/>
        <v>0</v>
      </c>
    </row>
    <row r="60" spans="1:50" ht="15">
      <c r="A60" s="18">
        <v>27</v>
      </c>
      <c r="B60" s="7" t="s">
        <v>89</v>
      </c>
      <c r="C60" s="147"/>
      <c r="D60" s="13"/>
      <c r="E60" s="142"/>
      <c r="F60" s="143"/>
      <c r="G60" s="160"/>
      <c r="H60" s="324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1">
        <f t="shared" si="6"/>
        <v>0</v>
      </c>
    </row>
    <row r="61" spans="1:50" ht="15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1">
        <f t="shared" si="6"/>
        <v>0</v>
      </c>
    </row>
    <row r="62" spans="1:50" ht="15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7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1">
        <f t="shared" si="6"/>
        <v>0</v>
      </c>
    </row>
    <row r="63" spans="1:50" ht="15">
      <c r="A63" s="573">
        <v>30</v>
      </c>
      <c r="B63" s="575" t="s">
        <v>90</v>
      </c>
      <c r="C63" s="576">
        <v>1846</v>
      </c>
      <c r="D63" s="577">
        <v>63789432</v>
      </c>
      <c r="E63" s="578">
        <f>+D63*E31</f>
        <v>44652602.399999999</v>
      </c>
      <c r="F63" s="579">
        <f>+D63*F31</f>
        <v>19136829.599999998</v>
      </c>
      <c r="G63" s="580"/>
      <c r="H63" s="324">
        <f t="shared" si="7"/>
        <v>63789432</v>
      </c>
      <c r="I63" s="252"/>
      <c r="J63" s="221"/>
      <c r="K63" s="252">
        <v>44652602</v>
      </c>
      <c r="L63" s="206"/>
      <c r="M63" s="206"/>
      <c r="N63" s="206"/>
      <c r="O63" s="212"/>
      <c r="P63" s="212"/>
      <c r="Q63" s="212"/>
      <c r="R63" s="212">
        <v>19136830</v>
      </c>
      <c r="S63" s="212"/>
      <c r="T63" s="248"/>
      <c r="U63" s="235"/>
      <c r="V63" s="206"/>
      <c r="W63" s="206">
        <v>44652602</v>
      </c>
      <c r="X63" s="206"/>
      <c r="Y63" s="206"/>
      <c r="Z63" s="206"/>
      <c r="AA63" s="206"/>
      <c r="AB63" s="206"/>
      <c r="AC63" s="206"/>
      <c r="AD63" s="206">
        <v>19136830</v>
      </c>
      <c r="AE63" s="206"/>
      <c r="AF63" s="206"/>
      <c r="AG63" s="219">
        <f t="shared" si="8"/>
        <v>63789432</v>
      </c>
      <c r="AH63" s="124">
        <f t="shared" si="5"/>
        <v>0</v>
      </c>
      <c r="AK63" s="235">
        <v>0</v>
      </c>
      <c r="AL63" s="206">
        <v>0</v>
      </c>
      <c r="AM63" s="206">
        <v>0</v>
      </c>
      <c r="AN63" s="206">
        <v>0</v>
      </c>
      <c r="AO63" s="206"/>
      <c r="AP63" s="206"/>
      <c r="AQ63" s="206"/>
      <c r="AR63" s="206">
        <v>6712905</v>
      </c>
      <c r="AS63" s="206">
        <v>23021694</v>
      </c>
      <c r="AT63" s="206"/>
      <c r="AU63" s="206"/>
      <c r="AV63" s="227"/>
      <c r="AW63" s="228">
        <f t="shared" si="10"/>
        <v>29734599</v>
      </c>
      <c r="AX63" s="431">
        <f t="shared" si="6"/>
        <v>34054833</v>
      </c>
    </row>
    <row r="64" spans="1:50" ht="15">
      <c r="A64" s="18">
        <v>31</v>
      </c>
      <c r="B64" s="7" t="s">
        <v>91</v>
      </c>
      <c r="C64" s="147"/>
      <c r="D64" s="13"/>
      <c r="E64" s="142"/>
      <c r="F64" s="143"/>
      <c r="G64" s="160"/>
      <c r="H64" s="324">
        <f t="shared" si="7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1">
        <f t="shared" si="6"/>
        <v>0</v>
      </c>
    </row>
    <row r="65" spans="1:50" ht="15">
      <c r="A65" s="573">
        <v>32</v>
      </c>
      <c r="B65" s="575" t="s">
        <v>92</v>
      </c>
      <c r="C65" s="576">
        <v>1374</v>
      </c>
      <c r="D65" s="577">
        <v>4050116</v>
      </c>
      <c r="E65" s="578">
        <f>+D65*E31</f>
        <v>2835081.1999999997</v>
      </c>
      <c r="F65" s="579">
        <f>+D65*F31</f>
        <v>1215034.8</v>
      </c>
      <c r="G65" s="580"/>
      <c r="H65" s="324">
        <f t="shared" si="7"/>
        <v>4050116</v>
      </c>
      <c r="I65" s="252"/>
      <c r="J65" s="221"/>
      <c r="K65" s="252">
        <v>2835081.1999999997</v>
      </c>
      <c r="L65" s="206"/>
      <c r="M65" s="206"/>
      <c r="N65" s="206"/>
      <c r="O65" s="212"/>
      <c r="P65" s="212"/>
      <c r="Q65" s="212"/>
      <c r="R65" s="212">
        <v>1215034.8000000003</v>
      </c>
      <c r="S65" s="212"/>
      <c r="T65" s="248"/>
      <c r="U65" s="235"/>
      <c r="V65" s="206"/>
      <c r="W65" s="206">
        <v>2835081</v>
      </c>
      <c r="X65" s="206"/>
      <c r="Y65" s="206"/>
      <c r="Z65" s="206"/>
      <c r="AA65" s="206"/>
      <c r="AB65" s="206"/>
      <c r="AC65" s="206"/>
      <c r="AD65" s="206"/>
      <c r="AE65" s="206">
        <v>1215034.8000000003</v>
      </c>
      <c r="AF65" s="206"/>
      <c r="AG65" s="219">
        <f t="shared" si="8"/>
        <v>4050115.8000000003</v>
      </c>
      <c r="AH65" s="124">
        <f t="shared" si="5"/>
        <v>0.19999999972060323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0"/>
        <v>0</v>
      </c>
      <c r="AX65" s="431">
        <f t="shared" si="6"/>
        <v>4050115.8000000003</v>
      </c>
    </row>
    <row r="66" spans="1:50" ht="15">
      <c r="A66" s="18">
        <v>33</v>
      </c>
      <c r="B66" s="52" t="s">
        <v>107</v>
      </c>
      <c r="C66" s="148"/>
      <c r="D66" s="43"/>
      <c r="E66" s="174"/>
      <c r="F66" s="175"/>
      <c r="G66" s="176"/>
      <c r="H66" s="324">
        <f t="shared" si="7"/>
        <v>0</v>
      </c>
      <c r="I66" s="254"/>
      <c r="J66" s="222"/>
      <c r="K66" s="254"/>
      <c r="L66" s="210"/>
      <c r="M66" s="210"/>
      <c r="N66" s="210"/>
      <c r="O66" s="212"/>
      <c r="P66" s="212"/>
      <c r="Q66" s="212"/>
      <c r="R66" s="212"/>
      <c r="S66" s="212"/>
      <c r="T66" s="248"/>
      <c r="U66" s="236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1">
        <f t="shared" si="6"/>
        <v>0</v>
      </c>
    </row>
    <row r="67" spans="1:50" ht="15">
      <c r="A67" s="573">
        <v>34</v>
      </c>
      <c r="B67" s="568" t="s">
        <v>180</v>
      </c>
      <c r="C67" s="569" t="s">
        <v>301</v>
      </c>
      <c r="D67" s="567">
        <f>5901129+63282000+34104484+18224785</f>
        <v>121512398</v>
      </c>
      <c r="E67" s="563">
        <v>4130790.3</v>
      </c>
      <c r="F67" s="564">
        <v>1770338.7</v>
      </c>
      <c r="G67" s="565">
        <f>63282000+34104484</f>
        <v>97386484</v>
      </c>
      <c r="H67" s="324">
        <f t="shared" si="7"/>
        <v>121512398</v>
      </c>
      <c r="I67" s="254"/>
      <c r="J67" s="222"/>
      <c r="K67" s="254">
        <v>4130790</v>
      </c>
      <c r="L67" s="210">
        <v>40166610</v>
      </c>
      <c r="M67" s="210">
        <v>23281464</v>
      </c>
      <c r="N67" s="210"/>
      <c r="O67" s="212"/>
      <c r="P67" s="212">
        <v>23873139</v>
      </c>
      <c r="Q67" s="212"/>
      <c r="R67" s="212">
        <f>8897588+2938022</f>
        <v>11835610</v>
      </c>
      <c r="S67" s="212">
        <v>18224785</v>
      </c>
      <c r="T67" s="248"/>
      <c r="U67" s="236"/>
      <c r="V67" s="210"/>
      <c r="W67" s="210">
        <v>4130790</v>
      </c>
      <c r="X67" s="210">
        <v>40166610</v>
      </c>
      <c r="Y67" s="210">
        <v>23281464</v>
      </c>
      <c r="Z67" s="210"/>
      <c r="AA67" s="210"/>
      <c r="AB67" s="210">
        <v>23873139</v>
      </c>
      <c r="AC67" s="210"/>
      <c r="AD67" s="210">
        <f>8897588+2938022</f>
        <v>11835610</v>
      </c>
      <c r="AE67" s="210">
        <v>18224785</v>
      </c>
      <c r="AF67" s="210"/>
      <c r="AG67" s="219">
        <f t="shared" si="8"/>
        <v>121512398</v>
      </c>
      <c r="AH67" s="124">
        <f t="shared" si="5"/>
        <v>0</v>
      </c>
      <c r="AK67" s="236">
        <v>0</v>
      </c>
      <c r="AL67" s="210">
        <v>0</v>
      </c>
      <c r="AM67" s="210"/>
      <c r="AN67" s="210"/>
      <c r="AO67" s="210"/>
      <c r="AP67" s="210"/>
      <c r="AQ67" s="210">
        <v>22422370</v>
      </c>
      <c r="AR67" s="210"/>
      <c r="AS67" s="210"/>
      <c r="AT67" s="210"/>
      <c r="AU67" s="210"/>
      <c r="AV67" s="229">
        <v>40932274</v>
      </c>
      <c r="AW67" s="228">
        <f t="shared" si="10"/>
        <v>63354644</v>
      </c>
      <c r="AX67" s="431">
        <f t="shared" si="6"/>
        <v>58157754</v>
      </c>
    </row>
    <row r="68" spans="1:50" ht="15">
      <c r="A68" s="18">
        <v>35</v>
      </c>
      <c r="B68" s="52" t="s">
        <v>181</v>
      </c>
      <c r="C68" s="148"/>
      <c r="D68" s="43"/>
      <c r="E68" s="174"/>
      <c r="F68" s="175"/>
      <c r="G68" s="176"/>
      <c r="H68" s="324">
        <f t="shared" si="7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ref="AH68:AH81" si="12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3">SUM(AK68:AV68)</f>
        <v>0</v>
      </c>
      <c r="AX68" s="431">
        <f t="shared" si="6"/>
        <v>0</v>
      </c>
    </row>
    <row r="69" spans="1:50" ht="15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12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3"/>
        <v>0</v>
      </c>
      <c r="AX69" s="431">
        <f t="shared" si="6"/>
        <v>0</v>
      </c>
    </row>
    <row r="70" spans="1:50" ht="15">
      <c r="A70" s="573">
        <v>37</v>
      </c>
      <c r="B70" s="568" t="s">
        <v>132</v>
      </c>
      <c r="C70" s="569">
        <v>2250</v>
      </c>
      <c r="D70" s="567">
        <v>22562980</v>
      </c>
      <c r="E70" s="563">
        <f>+D70*0.5</f>
        <v>11281490</v>
      </c>
      <c r="F70" s="564">
        <f>+D70*0.25</f>
        <v>5640745</v>
      </c>
      <c r="G70" s="565">
        <f>+D70*0.25</f>
        <v>5640745</v>
      </c>
      <c r="H70" s="324">
        <f t="shared" si="7"/>
        <v>22562960</v>
      </c>
      <c r="I70" s="254"/>
      <c r="J70" s="222"/>
      <c r="K70" s="254"/>
      <c r="L70" s="210"/>
      <c r="M70" s="210">
        <v>11281480</v>
      </c>
      <c r="N70" s="210"/>
      <c r="O70" s="212"/>
      <c r="P70" s="212">
        <v>5640740</v>
      </c>
      <c r="Q70" s="212"/>
      <c r="R70" s="212">
        <v>5640740</v>
      </c>
      <c r="S70" s="212"/>
      <c r="T70" s="248"/>
      <c r="U70" s="236"/>
      <c r="V70" s="210"/>
      <c r="W70" s="210"/>
      <c r="X70" s="210"/>
      <c r="Y70" s="210">
        <v>11281480</v>
      </c>
      <c r="Z70" s="210"/>
      <c r="AA70" s="210"/>
      <c r="AB70" s="210"/>
      <c r="AC70" s="210">
        <v>5640740</v>
      </c>
      <c r="AD70" s="210">
        <v>5640740</v>
      </c>
      <c r="AE70" s="210"/>
      <c r="AF70" s="210"/>
      <c r="AG70" s="219">
        <f t="shared" si="11"/>
        <v>22562960</v>
      </c>
      <c r="AH70" s="124">
        <f t="shared" si="12"/>
        <v>0</v>
      </c>
      <c r="AK70" s="236"/>
      <c r="AL70" s="210"/>
      <c r="AM70" s="210"/>
      <c r="AN70" s="210"/>
      <c r="AO70" s="210"/>
      <c r="AP70" s="210"/>
      <c r="AQ70" s="210"/>
      <c r="AR70" s="210"/>
      <c r="AS70" s="210"/>
      <c r="AT70" s="210">
        <v>20073168</v>
      </c>
      <c r="AU70" s="210"/>
      <c r="AV70" s="229"/>
      <c r="AW70" s="228">
        <f t="shared" si="13"/>
        <v>20073168</v>
      </c>
      <c r="AX70" s="431">
        <f t="shared" si="6"/>
        <v>2489792</v>
      </c>
    </row>
    <row r="71" spans="1:50" ht="15">
      <c r="A71" s="573">
        <v>38</v>
      </c>
      <c r="B71" s="568" t="s">
        <v>129</v>
      </c>
      <c r="C71" s="569">
        <v>2879</v>
      </c>
      <c r="D71" s="567">
        <v>2369943</v>
      </c>
      <c r="E71" s="563">
        <f>+D71*E31</f>
        <v>1658960.0999999999</v>
      </c>
      <c r="F71" s="564">
        <f>+D71*F31</f>
        <v>710982.9</v>
      </c>
      <c r="G71" s="565"/>
      <c r="H71" s="324">
        <f t="shared" si="7"/>
        <v>2369943</v>
      </c>
      <c r="I71" s="254"/>
      <c r="J71" s="222"/>
      <c r="K71" s="254"/>
      <c r="L71" s="210"/>
      <c r="M71" s="210">
        <v>1658960</v>
      </c>
      <c r="N71" s="210"/>
      <c r="O71" s="212"/>
      <c r="P71" s="212"/>
      <c r="Q71" s="212"/>
      <c r="R71" s="212"/>
      <c r="S71" s="212">
        <v>710983</v>
      </c>
      <c r="T71" s="248"/>
      <c r="U71" s="236"/>
      <c r="V71" s="210"/>
      <c r="W71" s="210"/>
      <c r="X71" s="210"/>
      <c r="Y71" s="210">
        <v>1658960</v>
      </c>
      <c r="Z71" s="210"/>
      <c r="AA71" s="210"/>
      <c r="AB71" s="210"/>
      <c r="AC71" s="210"/>
      <c r="AD71" s="210"/>
      <c r="AE71" s="210">
        <v>710983</v>
      </c>
      <c r="AF71" s="210"/>
      <c r="AG71" s="219">
        <f t="shared" si="11"/>
        <v>2369943</v>
      </c>
      <c r="AH71" s="124">
        <f t="shared" si="12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3"/>
        <v>0</v>
      </c>
      <c r="AX71" s="431">
        <f t="shared" si="6"/>
        <v>2369943</v>
      </c>
    </row>
    <row r="72" spans="1:50" ht="15">
      <c r="A72" s="18">
        <v>39</v>
      </c>
      <c r="B72" s="52" t="s">
        <v>133</v>
      </c>
      <c r="C72" s="148"/>
      <c r="D72" s="43"/>
      <c r="E72" s="174"/>
      <c r="F72" s="175"/>
      <c r="G72" s="176"/>
      <c r="H72" s="324">
        <f t="shared" si="7"/>
        <v>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/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1"/>
        <v>0</v>
      </c>
      <c r="AH72" s="124">
        <f t="shared" si="12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3"/>
        <v>0</v>
      </c>
      <c r="AX72" s="431">
        <f t="shared" si="6"/>
        <v>0</v>
      </c>
    </row>
    <row r="73" spans="1:50" ht="15">
      <c r="A73" s="18">
        <v>40</v>
      </c>
      <c r="B73" s="52" t="s">
        <v>134</v>
      </c>
      <c r="C73" s="148"/>
      <c r="D73" s="43"/>
      <c r="E73" s="174"/>
      <c r="F73" s="175"/>
      <c r="G73" s="176"/>
      <c r="H73" s="324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1"/>
        <v>0</v>
      </c>
      <c r="AH73" s="124">
        <f t="shared" si="12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3"/>
        <v>0</v>
      </c>
      <c r="AX73" s="431">
        <f t="shared" si="6"/>
        <v>0</v>
      </c>
    </row>
    <row r="74" spans="1:50" ht="15">
      <c r="A74" s="18">
        <v>41</v>
      </c>
      <c r="B74" s="52" t="s">
        <v>135</v>
      </c>
      <c r="C74" s="148"/>
      <c r="D74" s="43"/>
      <c r="E74" s="174"/>
      <c r="F74" s="175"/>
      <c r="G74" s="176"/>
      <c r="H74" s="324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1"/>
        <v>0</v>
      </c>
      <c r="AH74" s="124">
        <f t="shared" si="12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3"/>
        <v>0</v>
      </c>
      <c r="AX74" s="431">
        <f t="shared" si="6"/>
        <v>0</v>
      </c>
    </row>
    <row r="75" spans="1:50" ht="15">
      <c r="A75" s="573">
        <v>42</v>
      </c>
      <c r="B75" s="568" t="s">
        <v>170</v>
      </c>
      <c r="C75" s="569">
        <v>3250</v>
      </c>
      <c r="D75" s="567">
        <v>2931020</v>
      </c>
      <c r="E75" s="736" t="s">
        <v>172</v>
      </c>
      <c r="F75" s="737"/>
      <c r="G75" s="738"/>
      <c r="H75" s="324">
        <f t="shared" si="7"/>
        <v>2931020</v>
      </c>
      <c r="I75" s="254"/>
      <c r="J75" s="222"/>
      <c r="K75" s="254"/>
      <c r="L75" s="210"/>
      <c r="M75" s="210"/>
      <c r="N75" s="210">
        <v>2051714</v>
      </c>
      <c r="O75" s="212"/>
      <c r="P75" s="212"/>
      <c r="Q75" s="212">
        <v>879306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4">SUM(U75:AF75)</f>
        <v>0</v>
      </c>
      <c r="AH75" s="124">
        <f t="shared" si="12"/>
        <v>2931020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5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9">
        <v>3251</v>
      </c>
      <c r="D76" s="567">
        <v>6095150</v>
      </c>
      <c r="E76" s="736" t="s">
        <v>172</v>
      </c>
      <c r="F76" s="737"/>
      <c r="G76" s="738"/>
      <c r="H76" s="324">
        <f t="shared" si="7"/>
        <v>6095150</v>
      </c>
      <c r="I76" s="254"/>
      <c r="J76" s="222"/>
      <c r="K76" s="254"/>
      <c r="L76" s="210"/>
      <c r="M76" s="210"/>
      <c r="N76" s="210">
        <v>4266605</v>
      </c>
      <c r="O76" s="212"/>
      <c r="P76" s="212"/>
      <c r="Q76" s="212"/>
      <c r="R76" s="212"/>
      <c r="S76" s="212">
        <v>1828545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4"/>
        <v>0</v>
      </c>
      <c r="AH76" s="124">
        <f t="shared" si="12"/>
        <v>6095150</v>
      </c>
      <c r="AI76" s="170">
        <f>+AH75+AH76</f>
        <v>9026170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5"/>
        <v>0</v>
      </c>
      <c r="AX76" s="431">
        <f t="shared" si="6"/>
        <v>0</v>
      </c>
    </row>
    <row r="77" spans="1:50" ht="15">
      <c r="A77" s="18">
        <v>44</v>
      </c>
      <c r="B77" s="52" t="s">
        <v>188</v>
      </c>
      <c r="C77" s="148"/>
      <c r="D77" s="43"/>
      <c r="E77" s="479"/>
      <c r="F77" s="480"/>
      <c r="G77" s="480"/>
      <c r="H77" s="324">
        <f t="shared" si="7"/>
        <v>0</v>
      </c>
      <c r="I77" s="254"/>
      <c r="J77" s="222"/>
      <c r="K77" s="254"/>
      <c r="L77" s="210"/>
      <c r="M77" s="210"/>
      <c r="N77" s="210"/>
      <c r="O77" s="212"/>
      <c r="P77" s="212"/>
      <c r="Q77" s="212"/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4"/>
        <v>0</v>
      </c>
      <c r="AH77" s="124">
        <f t="shared" si="12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5"/>
        <v>0</v>
      </c>
      <c r="AX77" s="431">
        <f t="shared" si="6"/>
        <v>0</v>
      </c>
    </row>
    <row r="78" spans="1:50" ht="15">
      <c r="A78" s="18">
        <v>45</v>
      </c>
      <c r="B78" s="52" t="s">
        <v>189</v>
      </c>
      <c r="C78" s="148"/>
      <c r="D78" s="43"/>
      <c r="E78" s="720" t="s">
        <v>172</v>
      </c>
      <c r="F78" s="721"/>
      <c r="G78" s="722"/>
      <c r="H78" s="324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4"/>
        <v>0</v>
      </c>
      <c r="AH78" s="124">
        <f t="shared" si="12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5"/>
        <v>0</v>
      </c>
      <c r="AX78" s="431">
        <f>+AG78-AW78</f>
        <v>0</v>
      </c>
    </row>
    <row r="79" spans="1:50" ht="15">
      <c r="A79" s="18"/>
      <c r="B79" s="52" t="s">
        <v>205</v>
      </c>
      <c r="C79" s="148"/>
      <c r="D79" s="43"/>
      <c r="E79" s="479"/>
      <c r="F79" s="480"/>
      <c r="G79" s="480"/>
      <c r="H79" s="324">
        <f t="shared" si="7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4"/>
        <v>0</v>
      </c>
      <c r="AH79" s="124">
        <f t="shared" si="12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5"/>
        <v>0</v>
      </c>
      <c r="AX79" s="431">
        <f>+AG79-AW79</f>
        <v>0</v>
      </c>
    </row>
    <row r="80" spans="1:50" ht="15">
      <c r="A80" s="18">
        <v>46</v>
      </c>
      <c r="B80" s="52" t="s">
        <v>105</v>
      </c>
      <c r="C80" s="148"/>
      <c r="D80" s="43"/>
      <c r="E80" s="174"/>
      <c r="F80" s="175"/>
      <c r="G80" s="176"/>
      <c r="H80" s="324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4"/>
        <v>0</v>
      </c>
      <c r="AH80" s="124">
        <f t="shared" si="12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5"/>
        <v>0</v>
      </c>
      <c r="AX80" s="431">
        <f>+AG80-AW80</f>
        <v>0</v>
      </c>
    </row>
    <row r="81" spans="1:50" ht="15">
      <c r="A81" s="621"/>
      <c r="B81" s="568" t="s">
        <v>256</v>
      </c>
      <c r="C81" s="569" t="s">
        <v>261</v>
      </c>
      <c r="D81" s="567">
        <v>8446965</v>
      </c>
      <c r="E81" s="563">
        <f>+D81</f>
        <v>8446965</v>
      </c>
      <c r="F81" s="564"/>
      <c r="G81" s="565"/>
      <c r="H81" s="324">
        <f t="shared" si="7"/>
        <v>8446965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8446965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8446965</v>
      </c>
      <c r="AE81" s="210"/>
      <c r="AF81" s="210"/>
      <c r="AG81" s="219">
        <f t="shared" si="14"/>
        <v>8446965</v>
      </c>
      <c r="AH81" s="124">
        <f t="shared" si="12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5"/>
        <v>0</v>
      </c>
      <c r="AX81" s="431">
        <f>+AG81-AW81</f>
        <v>8446965</v>
      </c>
    </row>
    <row r="82" spans="1:50" ht="15.75" thickBot="1">
      <c r="A82" s="145"/>
      <c r="B82" s="52"/>
      <c r="C82" s="148"/>
      <c r="D82" s="43"/>
      <c r="E82" s="174"/>
      <c r="F82" s="175"/>
      <c r="G82" s="176"/>
      <c r="H82" s="324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4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5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SUM(D34:D80)</f>
        <v>727488950</v>
      </c>
      <c r="E83" s="86"/>
      <c r="F83" s="87"/>
      <c r="G83" s="88"/>
      <c r="H83" s="348">
        <f t="shared" ref="H83:AG83" si="16">SUM(H34:H82)</f>
        <v>735935894.60000002</v>
      </c>
      <c r="I83" s="255">
        <f t="shared" si="16"/>
        <v>0</v>
      </c>
      <c r="J83" s="256">
        <f t="shared" si="16"/>
        <v>0</v>
      </c>
      <c r="K83" s="256">
        <f t="shared" si="16"/>
        <v>255662120.59999996</v>
      </c>
      <c r="L83" s="256">
        <f t="shared" si="16"/>
        <v>46464089</v>
      </c>
      <c r="M83" s="256">
        <f t="shared" si="16"/>
        <v>121894419</v>
      </c>
      <c r="N83" s="256">
        <f t="shared" si="16"/>
        <v>17930862</v>
      </c>
      <c r="O83" s="256">
        <f t="shared" si="16"/>
        <v>18874314</v>
      </c>
      <c r="P83" s="256">
        <f t="shared" si="16"/>
        <v>48388193</v>
      </c>
      <c r="Q83" s="256">
        <f t="shared" si="16"/>
        <v>19753619</v>
      </c>
      <c r="R83" s="256">
        <f t="shared" si="16"/>
        <v>136633794</v>
      </c>
      <c r="S83" s="256">
        <f t="shared" si="16"/>
        <v>51460171</v>
      </c>
      <c r="T83" s="256">
        <f t="shared" si="16"/>
        <v>18874313</v>
      </c>
      <c r="U83" s="241">
        <f t="shared" si="16"/>
        <v>0</v>
      </c>
      <c r="V83" s="241">
        <f t="shared" si="16"/>
        <v>0</v>
      </c>
      <c r="W83" s="241">
        <f t="shared" si="16"/>
        <v>255662095.79999998</v>
      </c>
      <c r="X83" s="241">
        <f t="shared" si="16"/>
        <v>46464089</v>
      </c>
      <c r="Y83" s="241">
        <f t="shared" si="16"/>
        <v>121894419</v>
      </c>
      <c r="Z83" s="241">
        <f t="shared" si="16"/>
        <v>5315039</v>
      </c>
      <c r="AA83" s="241">
        <f t="shared" si="16"/>
        <v>18874314</v>
      </c>
      <c r="AB83" s="241">
        <f t="shared" si="16"/>
        <v>36449949</v>
      </c>
      <c r="AC83" s="241">
        <f t="shared" si="16"/>
        <v>24515053</v>
      </c>
      <c r="AD83" s="241">
        <f t="shared" si="16"/>
        <v>96930968.900000006</v>
      </c>
      <c r="AE83" s="241">
        <f t="shared" si="16"/>
        <v>71233601.099999994</v>
      </c>
      <c r="AF83" s="241">
        <f t="shared" si="16"/>
        <v>12576809</v>
      </c>
      <c r="AG83" s="241">
        <f t="shared" si="16"/>
        <v>689916337.79999995</v>
      </c>
      <c r="AH83" s="125">
        <f>+H83-AG83</f>
        <v>46019556.800000072</v>
      </c>
      <c r="AK83" s="425">
        <f t="shared" ref="AK83:AX83" si="17">SUM(AK34:AK82)</f>
        <v>0</v>
      </c>
      <c r="AL83" s="425">
        <f t="shared" si="17"/>
        <v>0</v>
      </c>
      <c r="AM83" s="425">
        <f t="shared" si="17"/>
        <v>0</v>
      </c>
      <c r="AN83" s="425">
        <f t="shared" si="17"/>
        <v>0</v>
      </c>
      <c r="AO83" s="425">
        <f t="shared" si="17"/>
        <v>0</v>
      </c>
      <c r="AP83" s="425">
        <f t="shared" si="17"/>
        <v>0</v>
      </c>
      <c r="AQ83" s="425">
        <f t="shared" si="17"/>
        <v>22422370</v>
      </c>
      <c r="AR83" s="425">
        <f t="shared" si="17"/>
        <v>145961263</v>
      </c>
      <c r="AS83" s="425">
        <f t="shared" si="17"/>
        <v>23021694</v>
      </c>
      <c r="AT83" s="425">
        <f t="shared" si="17"/>
        <v>66254749</v>
      </c>
      <c r="AU83" s="425">
        <f t="shared" si="17"/>
        <v>0</v>
      </c>
      <c r="AV83" s="438">
        <f t="shared" si="17"/>
        <v>131409156</v>
      </c>
      <c r="AW83" s="451">
        <f t="shared" si="17"/>
        <v>389069232</v>
      </c>
      <c r="AX83" s="429">
        <f t="shared" si="17"/>
        <v>300847105.80000001</v>
      </c>
    </row>
    <row r="84" spans="1:50" s="376" customFormat="1" ht="15.75" thickBot="1">
      <c r="D84" s="377"/>
      <c r="E84" s="378"/>
      <c r="F84" s="378"/>
      <c r="G84" s="378"/>
      <c r="H84" s="379"/>
      <c r="I84" s="379"/>
      <c r="J84" s="379"/>
      <c r="K84" s="379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3450038</v>
      </c>
      <c r="V84" s="396">
        <v>3450039</v>
      </c>
      <c r="W84" s="395">
        <v>3450040</v>
      </c>
      <c r="X84" s="396">
        <v>3450041</v>
      </c>
      <c r="Y84" s="395">
        <v>3454848</v>
      </c>
      <c r="Z84" s="396">
        <v>3467824</v>
      </c>
      <c r="AA84" s="395">
        <v>3480006</v>
      </c>
      <c r="AB84" s="396">
        <v>3491823</v>
      </c>
      <c r="AC84" s="395">
        <v>3510156</v>
      </c>
      <c r="AD84" s="396">
        <v>3513787</v>
      </c>
      <c r="AE84" s="395"/>
      <c r="AF84" s="395"/>
      <c r="AG84" s="379"/>
      <c r="AN84" s="469"/>
      <c r="AO84" s="469"/>
      <c r="AQ84" s="207"/>
      <c r="AR84" s="207"/>
      <c r="AT84" s="207"/>
      <c r="AW84" s="207"/>
    </row>
    <row r="85" spans="1:50" ht="15.75" thickBot="1">
      <c r="A85" s="761" t="s">
        <v>94</v>
      </c>
      <c r="B85" s="762"/>
      <c r="C85" s="763"/>
      <c r="D85" s="133">
        <f>+D83+D30</f>
        <v>2912967758</v>
      </c>
      <c r="E85" s="127"/>
      <c r="F85" s="128"/>
      <c r="G85" s="128"/>
      <c r="H85" s="242">
        <f>+H30</f>
        <v>2408468027.15306</v>
      </c>
      <c r="I85" s="215">
        <f t="shared" ref="I85:AH85" si="18">+I83+I30</f>
        <v>182123234</v>
      </c>
      <c r="J85" s="215">
        <f t="shared" si="18"/>
        <v>182155765</v>
      </c>
      <c r="K85" s="215">
        <f t="shared" si="18"/>
        <v>437801620.75305998</v>
      </c>
      <c r="L85" s="215">
        <f t="shared" si="18"/>
        <v>286188037</v>
      </c>
      <c r="M85" s="215">
        <f t="shared" si="18"/>
        <v>304131232</v>
      </c>
      <c r="N85" s="215">
        <f t="shared" si="18"/>
        <v>255562925</v>
      </c>
      <c r="O85" s="215">
        <f t="shared" si="18"/>
        <v>201111127</v>
      </c>
      <c r="P85" s="215">
        <f t="shared" si="18"/>
        <v>230625006</v>
      </c>
      <c r="Q85" s="215">
        <f t="shared" si="18"/>
        <v>257037015</v>
      </c>
      <c r="R85" s="215">
        <f t="shared" si="18"/>
        <v>318870607</v>
      </c>
      <c r="S85" s="215">
        <f t="shared" si="18"/>
        <v>233696984</v>
      </c>
      <c r="T85" s="257">
        <f t="shared" si="18"/>
        <v>255100369</v>
      </c>
      <c r="U85" s="242">
        <f t="shared" si="18"/>
        <v>182123234</v>
      </c>
      <c r="V85" s="215">
        <f t="shared" si="18"/>
        <v>182155765</v>
      </c>
      <c r="W85" s="285">
        <f t="shared" si="18"/>
        <v>437801595.79999995</v>
      </c>
      <c r="X85" s="242">
        <f t="shared" si="18"/>
        <v>286188037</v>
      </c>
      <c r="Y85" s="215">
        <f t="shared" si="18"/>
        <v>304131232</v>
      </c>
      <c r="Z85" s="285">
        <f t="shared" si="18"/>
        <v>242947102</v>
      </c>
      <c r="AA85" s="242">
        <f t="shared" si="18"/>
        <v>201111127</v>
      </c>
      <c r="AB85" s="215">
        <f t="shared" si="18"/>
        <v>218686762</v>
      </c>
      <c r="AC85" s="285">
        <f t="shared" si="18"/>
        <v>261798449</v>
      </c>
      <c r="AD85" s="242">
        <f t="shared" si="18"/>
        <v>279167781.89999998</v>
      </c>
      <c r="AE85" s="215">
        <f t="shared" si="18"/>
        <v>253470414.09999999</v>
      </c>
      <c r="AF85" s="285">
        <f t="shared" si="18"/>
        <v>248802865</v>
      </c>
      <c r="AG85" s="282">
        <f t="shared" si="18"/>
        <v>3098384364.8000002</v>
      </c>
      <c r="AH85" s="132">
        <f t="shared" si="18"/>
        <v>46019556.953060031</v>
      </c>
      <c r="AR85" s="473"/>
      <c r="AT85" s="473"/>
      <c r="AW85" s="473"/>
    </row>
    <row r="87" spans="1:50" ht="15" thickBot="1">
      <c r="D87" s="1"/>
      <c r="E87" s="1"/>
      <c r="F87" s="1"/>
      <c r="G87" s="1"/>
    </row>
    <row r="88" spans="1:50" ht="15.75" thickBot="1">
      <c r="A88" s="273"/>
      <c r="B88" s="758" t="s">
        <v>118</v>
      </c>
      <c r="C88" s="759"/>
      <c r="D88" s="760"/>
    </row>
    <row r="89" spans="1:50">
      <c r="A89" s="274" t="s">
        <v>119</v>
      </c>
      <c r="B89" s="708" t="s">
        <v>123</v>
      </c>
      <c r="C89" s="709"/>
      <c r="D89" s="275">
        <f>+U85+V85+W85</f>
        <v>802080594.79999995</v>
      </c>
    </row>
    <row r="90" spans="1:50">
      <c r="A90" s="276" t="s">
        <v>120</v>
      </c>
      <c r="B90" s="706" t="s">
        <v>124</v>
      </c>
      <c r="C90" s="707"/>
      <c r="D90" s="277">
        <f>+X85+Y85+Z85</f>
        <v>833266371</v>
      </c>
    </row>
    <row r="91" spans="1:50">
      <c r="A91" s="276" t="s">
        <v>121</v>
      </c>
      <c r="B91" s="706" t="s">
        <v>125</v>
      </c>
      <c r="C91" s="707"/>
      <c r="D91" s="277">
        <f>+AA85+AB85+AC85</f>
        <v>681596338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781441061</v>
      </c>
    </row>
    <row r="93" spans="1:50" ht="15.75" customHeight="1" thickBot="1">
      <c r="A93" s="756" t="s">
        <v>117</v>
      </c>
      <c r="B93" s="757"/>
      <c r="C93" s="757"/>
      <c r="D93" s="280">
        <f>SUM(D89:D92)</f>
        <v>3098384364.8000002</v>
      </c>
    </row>
    <row r="97" spans="2:5" ht="15">
      <c r="B97" s="509" t="s">
        <v>234</v>
      </c>
      <c r="E97" s="1"/>
    </row>
    <row r="98" spans="2:5">
      <c r="B98" s="700" t="s">
        <v>242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 t="s">
        <v>82</v>
      </c>
      <c r="D102" s="6">
        <v>6297504</v>
      </c>
    </row>
    <row r="103" spans="2:5" ht="15">
      <c r="C103" s="508" t="s">
        <v>236</v>
      </c>
      <c r="D103" s="511">
        <v>5640740</v>
      </c>
    </row>
    <row r="104" spans="2:5">
      <c r="D104" s="6">
        <f>SUM(D102:D103)</f>
        <v>11938244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BA104"/>
  <sheetViews>
    <sheetView topLeftCell="G34" zoomScale="70" zoomScaleNormal="70" workbookViewId="0">
      <selection activeCell="S51" sqref="S51"/>
    </sheetView>
  </sheetViews>
  <sheetFormatPr baseColWidth="10" defaultRowHeight="14.25"/>
  <cols>
    <col min="1" max="1" width="4.85546875" style="1" customWidth="1"/>
    <col min="2" max="2" width="65.85546875" style="1" customWidth="1"/>
    <col min="3" max="3" width="24.140625" style="1" customWidth="1"/>
    <col min="4" max="4" width="21.5703125" style="6" customWidth="1"/>
    <col min="5" max="6" width="16.85546875" style="4" customWidth="1"/>
    <col min="7" max="7" width="16.7109375" style="4" customWidth="1"/>
    <col min="8" max="8" width="19.28515625" style="207" customWidth="1"/>
    <col min="9" max="9" width="19.28515625" style="207" hidden="1" customWidth="1"/>
    <col min="10" max="10" width="16" style="207" hidden="1" customWidth="1"/>
    <col min="11" max="11" width="16.28515625" style="207" hidden="1" customWidth="1"/>
    <col min="12" max="12" width="17" style="207" hidden="1" customWidth="1"/>
    <col min="13" max="13" width="15.7109375" style="207" hidden="1" customWidth="1"/>
    <col min="14" max="14" width="17.7109375" style="207" hidden="1" customWidth="1"/>
    <col min="15" max="15" width="16.28515625" style="207" hidden="1" customWidth="1"/>
    <col min="16" max="16" width="17.7109375" style="207" hidden="1" customWidth="1"/>
    <col min="17" max="17" width="16.85546875" style="207" hidden="1" customWidth="1"/>
    <col min="18" max="18" width="15.7109375" style="207" hidden="1" customWidth="1"/>
    <col min="19" max="19" width="19.140625" style="207" customWidth="1"/>
    <col min="20" max="20" width="18.28515625" style="207" customWidth="1"/>
    <col min="21" max="21" width="17.28515625" style="207" hidden="1" customWidth="1"/>
    <col min="22" max="22" width="16.85546875" style="207" hidden="1" customWidth="1"/>
    <col min="23" max="23" width="17.28515625" style="207" hidden="1" customWidth="1"/>
    <col min="24" max="24" width="17.7109375" style="207" hidden="1" customWidth="1"/>
    <col min="25" max="26" width="16.85546875" style="207" hidden="1" customWidth="1"/>
    <col min="27" max="27" width="16.28515625" style="207" hidden="1" customWidth="1"/>
    <col min="28" max="28" width="17.7109375" style="207" hidden="1" customWidth="1"/>
    <col min="29" max="29" width="20.85546875" style="207" hidden="1" customWidth="1"/>
    <col min="30" max="30" width="17.7109375" style="207" hidden="1" customWidth="1"/>
    <col min="31" max="31" width="19.140625" style="207" customWidth="1"/>
    <col min="32" max="32" width="18.28515625" style="207" customWidth="1"/>
    <col min="33" max="33" width="20.28515625" style="207" customWidth="1"/>
    <col min="34" max="34" width="17" style="1" customWidth="1"/>
    <col min="35" max="35" width="14.28515625" style="1" customWidth="1"/>
    <col min="36" max="36" width="11.42578125" style="1" customWidth="1"/>
    <col min="37" max="37" width="13.85546875" style="1" hidden="1" customWidth="1"/>
    <col min="38" max="38" width="14.85546875" style="1" hidden="1" customWidth="1"/>
    <col min="39" max="39" width="13.5703125" style="1" hidden="1" customWidth="1"/>
    <col min="40" max="41" width="10" style="1" hidden="1" customWidth="1"/>
    <col min="42" max="42" width="15.5703125" style="1" hidden="1" customWidth="1"/>
    <col min="43" max="43" width="12.85546875" style="1" hidden="1" customWidth="1"/>
    <col min="44" max="44" width="13.140625" style="1" hidden="1" customWidth="1"/>
    <col min="45" max="45" width="17.7109375" style="1" hidden="1" customWidth="1"/>
    <col min="46" max="46" width="11.42578125" style="1" hidden="1" customWidth="1"/>
    <col min="47" max="47" width="19.14062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7.140625" style="1" bestFit="1" customWidth="1"/>
    <col min="52" max="52" width="20.5703125" style="1" bestFit="1" customWidth="1"/>
    <col min="53" max="53" width="17.140625" style="1" bestFit="1" customWidth="1"/>
    <col min="54" max="16384" width="11.42578125" style="1"/>
  </cols>
  <sheetData>
    <row r="2" spans="1:34" ht="60.75" customHeight="1"/>
    <row r="3" spans="1:34">
      <c r="B3" s="2" t="s">
        <v>0</v>
      </c>
    </row>
    <row r="4" spans="1:34">
      <c r="B4" s="2" t="s">
        <v>1</v>
      </c>
    </row>
    <row r="5" spans="1:34" ht="14.25" customHeight="1">
      <c r="B5" s="2" t="s">
        <v>2</v>
      </c>
      <c r="H5" s="784" t="s">
        <v>3</v>
      </c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  <c r="AD5" s="784"/>
    </row>
    <row r="6" spans="1:34" ht="14.25" customHeight="1"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4"/>
      <c r="X6" s="784"/>
      <c r="Y6" s="784"/>
      <c r="Z6" s="784"/>
      <c r="AA6" s="784"/>
      <c r="AB6" s="784"/>
      <c r="AC6" s="784"/>
      <c r="AD6" s="784"/>
    </row>
    <row r="7" spans="1:34">
      <c r="H7" s="784"/>
      <c r="I7" s="784"/>
      <c r="J7" s="784"/>
      <c r="K7" s="784"/>
      <c r="L7" s="784"/>
      <c r="M7" s="784"/>
      <c r="N7" s="784"/>
      <c r="O7" s="784"/>
      <c r="P7" s="784"/>
      <c r="Q7" s="784"/>
      <c r="R7" s="784"/>
      <c r="S7" s="784"/>
      <c r="T7" s="784"/>
      <c r="U7" s="784"/>
      <c r="V7" s="784"/>
      <c r="W7" s="784"/>
      <c r="X7" s="784"/>
      <c r="Y7" s="784"/>
      <c r="Z7" s="784"/>
      <c r="AA7" s="784"/>
      <c r="AB7" s="784"/>
      <c r="AC7" s="784"/>
      <c r="AD7" s="784"/>
    </row>
    <row r="10" spans="1:34">
      <c r="B10" s="3" t="s">
        <v>52</v>
      </c>
    </row>
    <row r="11" spans="1:34">
      <c r="B11" s="3" t="s">
        <v>222</v>
      </c>
    </row>
    <row r="12" spans="1:34">
      <c r="B12" s="3" t="s">
        <v>70</v>
      </c>
    </row>
    <row r="13" spans="1:34" ht="15" thickBot="1"/>
    <row r="14" spans="1:34" ht="57.75" customHeight="1" thickBot="1">
      <c r="A14" s="69"/>
      <c r="B14" s="745" t="s">
        <v>6</v>
      </c>
      <c r="C14" s="745"/>
      <c r="D14" s="746"/>
      <c r="E14" s="748" t="s">
        <v>25</v>
      </c>
      <c r="F14" s="749"/>
      <c r="G14" s="750"/>
      <c r="H14" s="774" t="s">
        <v>38</v>
      </c>
      <c r="I14" s="775"/>
      <c r="J14" s="775"/>
      <c r="K14" s="775"/>
      <c r="L14" s="775"/>
      <c r="M14" s="775"/>
      <c r="N14" s="785"/>
      <c r="O14" s="777"/>
      <c r="P14" s="777"/>
      <c r="Q14" s="777"/>
      <c r="R14" s="777"/>
      <c r="S14" s="777"/>
      <c r="T14" s="778"/>
      <c r="U14" s="768" t="s">
        <v>39</v>
      </c>
      <c r="V14" s="769"/>
      <c r="W14" s="769"/>
      <c r="X14" s="769"/>
      <c r="Y14" s="769"/>
      <c r="Z14" s="769"/>
      <c r="AA14" s="769"/>
      <c r="AB14" s="769"/>
      <c r="AC14" s="769"/>
      <c r="AD14" s="769"/>
      <c r="AE14" s="769"/>
      <c r="AF14" s="769"/>
      <c r="AG14" s="770"/>
    </row>
    <row r="15" spans="1:34" ht="30.75" thickBot="1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ht="15">
      <c r="A16" s="18">
        <v>1</v>
      </c>
      <c r="B16" s="19" t="s">
        <v>26</v>
      </c>
      <c r="C16" s="146" t="s">
        <v>29</v>
      </c>
      <c r="D16" s="21">
        <f>158376692*12</f>
        <v>1900520304</v>
      </c>
      <c r="E16" s="22"/>
      <c r="F16" s="23"/>
      <c r="G16" s="24"/>
      <c r="H16" s="322">
        <f>SUM(I16:T16)</f>
        <v>1900520304</v>
      </c>
      <c r="I16" s="250">
        <v>158376692</v>
      </c>
      <c r="J16" s="217">
        <v>158376692</v>
      </c>
      <c r="K16" s="217">
        <v>158376692</v>
      </c>
      <c r="L16" s="217">
        <v>158376692</v>
      </c>
      <c r="M16" s="217">
        <v>158376692</v>
      </c>
      <c r="N16" s="217">
        <v>158376692</v>
      </c>
      <c r="O16" s="212">
        <v>158376692</v>
      </c>
      <c r="P16" s="212">
        <v>158376692</v>
      </c>
      <c r="Q16" s="212">
        <v>158376692</v>
      </c>
      <c r="R16" s="212">
        <v>158376692</v>
      </c>
      <c r="S16" s="212">
        <v>158376692</v>
      </c>
      <c r="T16" s="248">
        <v>158376692</v>
      </c>
      <c r="U16" s="234">
        <v>158376692</v>
      </c>
      <c r="V16" s="217">
        <v>158376692</v>
      </c>
      <c r="W16" s="217">
        <v>158376692</v>
      </c>
      <c r="X16" s="217">
        <v>158376692</v>
      </c>
      <c r="Y16" s="209">
        <v>158376692</v>
      </c>
      <c r="Z16" s="217">
        <v>158376692</v>
      </c>
      <c r="AA16" s="209">
        <v>158376692</v>
      </c>
      <c r="AB16" s="209">
        <v>158376692</v>
      </c>
      <c r="AC16" s="209">
        <v>158376692</v>
      </c>
      <c r="AD16" s="209">
        <v>158376692</v>
      </c>
      <c r="AE16" s="209">
        <v>158376692</v>
      </c>
      <c r="AF16" s="225">
        <v>158376692</v>
      </c>
      <c r="AG16" s="226">
        <f>SUM(U16:AF16)</f>
        <v>1900520304</v>
      </c>
      <c r="AH16" s="123">
        <f t="shared" ref="AH16:AH30" si="0">+H16-AG16</f>
        <v>0</v>
      </c>
    </row>
    <row r="17" spans="1:48" ht="15">
      <c r="A17" s="11">
        <v>2</v>
      </c>
      <c r="B17" s="7" t="s">
        <v>27</v>
      </c>
      <c r="C17" s="147" t="s">
        <v>29</v>
      </c>
      <c r="D17" s="13">
        <f>6719809*12</f>
        <v>80637708</v>
      </c>
      <c r="E17" s="15"/>
      <c r="F17" s="14"/>
      <c r="G17" s="16"/>
      <c r="H17" s="324">
        <f>SUM(I17:T17)</f>
        <v>80637708</v>
      </c>
      <c r="I17" s="252">
        <v>6719809</v>
      </c>
      <c r="J17" s="217">
        <v>6719809</v>
      </c>
      <c r="K17" s="217">
        <v>6719809</v>
      </c>
      <c r="L17" s="217">
        <v>6719809</v>
      </c>
      <c r="M17" s="217">
        <v>6719809</v>
      </c>
      <c r="N17" s="217">
        <v>6719809</v>
      </c>
      <c r="O17" s="206">
        <v>6719809</v>
      </c>
      <c r="P17" s="206">
        <v>6719809</v>
      </c>
      <c r="Q17" s="206">
        <v>6719809</v>
      </c>
      <c r="R17" s="206">
        <v>6719809</v>
      </c>
      <c r="S17" s="206">
        <v>6719809</v>
      </c>
      <c r="T17" s="227">
        <v>6719809</v>
      </c>
      <c r="U17" s="235">
        <v>6719809</v>
      </c>
      <c r="V17" s="217">
        <v>6719809</v>
      </c>
      <c r="W17" s="217">
        <v>6719809</v>
      </c>
      <c r="X17" s="217">
        <v>6719809</v>
      </c>
      <c r="Y17" s="206">
        <v>6719809</v>
      </c>
      <c r="Z17" s="217">
        <v>6719809</v>
      </c>
      <c r="AA17" s="206">
        <v>6719809</v>
      </c>
      <c r="AB17" s="206">
        <v>6719809</v>
      </c>
      <c r="AC17" s="206">
        <v>6719809</v>
      </c>
      <c r="AD17" s="206">
        <v>6719809</v>
      </c>
      <c r="AE17" s="206">
        <v>6719809</v>
      </c>
      <c r="AF17" s="227">
        <v>6719809</v>
      </c>
      <c r="AG17" s="228">
        <f t="shared" ref="AG17:AG28" si="1">SUM(U17:AF17)</f>
        <v>80637708</v>
      </c>
      <c r="AH17" s="124">
        <f t="shared" si="0"/>
        <v>0</v>
      </c>
    </row>
    <row r="18" spans="1:48" ht="15" hidden="1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4">
        <f t="shared" ref="H18:H29" si="2">SUM(I18:T18)</f>
        <v>0</v>
      </c>
      <c r="I18" s="252"/>
      <c r="J18" s="217">
        <v>0</v>
      </c>
      <c r="K18" s="206"/>
      <c r="L18" s="217">
        <v>0</v>
      </c>
      <c r="M18" s="217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>
        <v>0</v>
      </c>
      <c r="U18" s="235"/>
      <c r="V18" s="217">
        <v>0</v>
      </c>
      <c r="W18" s="206"/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>
        <v>0</v>
      </c>
      <c r="AG18" s="228">
        <f t="shared" si="1"/>
        <v>0</v>
      </c>
      <c r="AH18" s="124">
        <f t="shared" si="0"/>
        <v>0</v>
      </c>
    </row>
    <row r="19" spans="1:48" ht="15">
      <c r="A19" s="11">
        <v>4</v>
      </c>
      <c r="B19" s="7" t="s">
        <v>30</v>
      </c>
      <c r="C19" s="147" t="s">
        <v>29</v>
      </c>
      <c r="D19" s="13">
        <f>-1775466*12</f>
        <v>-21305592</v>
      </c>
      <c r="E19" s="15"/>
      <c r="F19" s="14"/>
      <c r="G19" s="16"/>
      <c r="H19" s="324">
        <f t="shared" si="2"/>
        <v>-13366173</v>
      </c>
      <c r="I19" s="252">
        <v>-1775466</v>
      </c>
      <c r="J19" s="217">
        <v>-320870</v>
      </c>
      <c r="K19" s="217">
        <v>-1048168</v>
      </c>
      <c r="L19" s="217">
        <v>-1048168</v>
      </c>
      <c r="M19" s="217">
        <v>-1048168</v>
      </c>
      <c r="N19" s="217">
        <v>-1048168</v>
      </c>
      <c r="O19" s="206">
        <v>-1048168</v>
      </c>
      <c r="P19" s="206">
        <v>-1048168</v>
      </c>
      <c r="Q19" s="206">
        <v>-1048168</v>
      </c>
      <c r="R19" s="206">
        <v>-1310887</v>
      </c>
      <c r="S19" s="206">
        <v>-1310887</v>
      </c>
      <c r="T19" s="227">
        <v>-1310887</v>
      </c>
      <c r="U19" s="235">
        <v>-1775466</v>
      </c>
      <c r="V19" s="217">
        <v>-320870</v>
      </c>
      <c r="W19" s="206">
        <v>-1048168</v>
      </c>
      <c r="X19" s="217">
        <v>-1048168</v>
      </c>
      <c r="Y19" s="206">
        <v>-1048168</v>
      </c>
      <c r="Z19" s="217">
        <v>-1048168</v>
      </c>
      <c r="AA19" s="206">
        <v>-1048168</v>
      </c>
      <c r="AB19" s="206">
        <v>-1048168</v>
      </c>
      <c r="AC19" s="206">
        <v>-1048168</v>
      </c>
      <c r="AD19" s="206">
        <v>-1310887</v>
      </c>
      <c r="AE19" s="206">
        <v>-1310887</v>
      </c>
      <c r="AF19" s="227">
        <v>-1310887</v>
      </c>
      <c r="AG19" s="228">
        <f t="shared" si="1"/>
        <v>-13366173</v>
      </c>
      <c r="AH19" s="124">
        <f t="shared" si="0"/>
        <v>0</v>
      </c>
    </row>
    <row r="20" spans="1:48" ht="29.25" hidden="1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ht="15">
      <c r="A21" s="11">
        <v>6</v>
      </c>
      <c r="B21" s="7" t="s">
        <v>32</v>
      </c>
      <c r="C21" s="147" t="s">
        <v>29</v>
      </c>
      <c r="D21" s="13">
        <f>550140*12</f>
        <v>6601680</v>
      </c>
      <c r="E21" s="15"/>
      <c r="F21" s="14"/>
      <c r="G21" s="16"/>
      <c r="H21" s="324">
        <f t="shared" si="2"/>
        <v>6259981.9500000002</v>
      </c>
      <c r="I21" s="252">
        <v>550140</v>
      </c>
      <c r="J21" s="217">
        <v>580950</v>
      </c>
      <c r="K21" s="217">
        <v>565544.94999999995</v>
      </c>
      <c r="L21" s="217">
        <v>419613</v>
      </c>
      <c r="M21" s="206">
        <v>510638</v>
      </c>
      <c r="N21" s="65">
        <v>510638</v>
      </c>
      <c r="O21" s="206">
        <v>510638</v>
      </c>
      <c r="P21" s="206">
        <v>510638</v>
      </c>
      <c r="Q21" s="206">
        <v>510638</v>
      </c>
      <c r="R21" s="206">
        <v>510638</v>
      </c>
      <c r="S21" s="206">
        <v>510638</v>
      </c>
      <c r="T21" s="227">
        <v>569268</v>
      </c>
      <c r="U21" s="235">
        <v>550140</v>
      </c>
      <c r="V21" s="217">
        <v>580950</v>
      </c>
      <c r="W21" s="217">
        <v>565545</v>
      </c>
      <c r="X21" s="217">
        <v>419613</v>
      </c>
      <c r="Y21" s="206">
        <v>510638</v>
      </c>
      <c r="Z21" s="65">
        <v>510638</v>
      </c>
      <c r="AA21" s="206">
        <v>510638</v>
      </c>
      <c r="AB21" s="206">
        <v>510638</v>
      </c>
      <c r="AC21" s="206">
        <v>510638</v>
      </c>
      <c r="AD21" s="206">
        <v>510638</v>
      </c>
      <c r="AE21" s="206">
        <v>510638</v>
      </c>
      <c r="AF21" s="227">
        <v>569268</v>
      </c>
      <c r="AG21" s="228">
        <f t="shared" si="1"/>
        <v>6259982</v>
      </c>
      <c r="AH21" s="124">
        <f t="shared" si="0"/>
        <v>-4.9999999813735485E-2</v>
      </c>
    </row>
    <row r="22" spans="1:48" ht="15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70138802</v>
      </c>
      <c r="I22" s="252"/>
      <c r="J22" s="217"/>
      <c r="K22" s="217"/>
      <c r="L22" s="217">
        <v>18253534</v>
      </c>
      <c r="M22" s="206"/>
      <c r="N22" s="65">
        <v>17687353</v>
      </c>
      <c r="O22" s="206"/>
      <c r="P22" s="206"/>
      <c r="Q22" s="206">
        <v>17077169</v>
      </c>
      <c r="R22" s="206"/>
      <c r="S22" s="206"/>
      <c r="T22" s="227">
        <v>17120746</v>
      </c>
      <c r="U22" s="235"/>
      <c r="V22" s="217"/>
      <c r="W22" s="217"/>
      <c r="X22" s="217">
        <v>18253534</v>
      </c>
      <c r="Y22" s="206"/>
      <c r="Z22" s="65">
        <v>17687353</v>
      </c>
      <c r="AA22" s="206"/>
      <c r="AB22" s="206"/>
      <c r="AC22" s="206">
        <v>17077169</v>
      </c>
      <c r="AD22" s="206"/>
      <c r="AE22" s="206"/>
      <c r="AF22" s="227">
        <v>17120746</v>
      </c>
      <c r="AG22" s="228">
        <f>SUM(U22:AF22)</f>
        <v>70138802</v>
      </c>
      <c r="AH22" s="124">
        <f t="shared" si="0"/>
        <v>0</v>
      </c>
    </row>
    <row r="23" spans="1:48" ht="15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51061601</v>
      </c>
      <c r="I23" s="252"/>
      <c r="J23" s="217"/>
      <c r="K23" s="217"/>
      <c r="L23" s="217">
        <v>21089032</v>
      </c>
      <c r="M23" s="206"/>
      <c r="N23" s="65">
        <v>10217454</v>
      </c>
      <c r="O23" s="206"/>
      <c r="P23" s="206"/>
      <c r="Q23" s="206">
        <v>9864971</v>
      </c>
      <c r="R23" s="206"/>
      <c r="S23" s="206"/>
      <c r="T23" s="227">
        <v>9890144</v>
      </c>
      <c r="U23" s="235"/>
      <c r="V23" s="217"/>
      <c r="W23" s="217"/>
      <c r="X23" s="217">
        <v>21089032</v>
      </c>
      <c r="Y23" s="206"/>
      <c r="Z23" s="65">
        <v>10217454</v>
      </c>
      <c r="AA23" s="206"/>
      <c r="AB23" s="206"/>
      <c r="AC23" s="206">
        <v>9864971</v>
      </c>
      <c r="AD23" s="206"/>
      <c r="AE23" s="206"/>
      <c r="AF23" s="227">
        <v>9890144</v>
      </c>
      <c r="AG23" s="228">
        <f>SUM(U23:AF23)</f>
        <v>51061601</v>
      </c>
      <c r="AH23" s="124">
        <f t="shared" si="0"/>
        <v>0</v>
      </c>
    </row>
    <row r="24" spans="1:48" ht="15">
      <c r="A24" s="11">
        <v>7</v>
      </c>
      <c r="B24" s="7" t="s">
        <v>33</v>
      </c>
      <c r="C24" s="147" t="s">
        <v>29</v>
      </c>
      <c r="D24" s="13">
        <f>556175*12</f>
        <v>6674100</v>
      </c>
      <c r="E24" s="15"/>
      <c r="F24" s="14"/>
      <c r="G24" s="16"/>
      <c r="H24" s="324">
        <f t="shared" si="2"/>
        <v>6674100</v>
      </c>
      <c r="I24" s="252">
        <v>556175</v>
      </c>
      <c r="J24" s="217">
        <v>556175</v>
      </c>
      <c r="K24" s="217">
        <v>556175</v>
      </c>
      <c r="L24" s="217">
        <v>556175</v>
      </c>
      <c r="M24" s="206">
        <v>556175</v>
      </c>
      <c r="N24" s="65">
        <v>556175</v>
      </c>
      <c r="O24" s="206">
        <v>556175</v>
      </c>
      <c r="P24" s="206">
        <v>556175</v>
      </c>
      <c r="Q24" s="206">
        <v>556175</v>
      </c>
      <c r="R24" s="206">
        <v>556175</v>
      </c>
      <c r="S24" s="206">
        <v>556175</v>
      </c>
      <c r="T24" s="227">
        <v>556175</v>
      </c>
      <c r="U24" s="235">
        <v>556175</v>
      </c>
      <c r="V24" s="217">
        <v>556175</v>
      </c>
      <c r="W24" s="217">
        <v>556175</v>
      </c>
      <c r="X24" s="217">
        <v>556175</v>
      </c>
      <c r="Y24" s="206">
        <v>556175</v>
      </c>
      <c r="Z24" s="65">
        <v>556175</v>
      </c>
      <c r="AA24" s="206">
        <v>556175</v>
      </c>
      <c r="AB24" s="206">
        <v>556175</v>
      </c>
      <c r="AC24" s="206">
        <v>556175</v>
      </c>
      <c r="AD24" s="206">
        <v>556175</v>
      </c>
      <c r="AE24" s="206">
        <v>556175</v>
      </c>
      <c r="AF24" s="227">
        <v>556175</v>
      </c>
      <c r="AG24" s="228">
        <f t="shared" si="1"/>
        <v>6674100</v>
      </c>
      <c r="AH24" s="124">
        <f t="shared" si="0"/>
        <v>0</v>
      </c>
    </row>
    <row r="25" spans="1:48" ht="15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24">
        <f t="shared" si="2"/>
        <v>0</v>
      </c>
      <c r="I25" s="252"/>
      <c r="J25" s="217">
        <v>0</v>
      </c>
      <c r="K25" s="206"/>
      <c r="L25" s="206"/>
      <c r="M25" s="206">
        <v>0</v>
      </c>
      <c r="N25" s="206"/>
      <c r="O25" s="206"/>
      <c r="P25" s="206"/>
      <c r="Q25" s="206"/>
      <c r="R25" s="206"/>
      <c r="S25" s="206"/>
      <c r="T25" s="227"/>
      <c r="U25" s="2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si="1"/>
        <v>0</v>
      </c>
      <c r="AH25" s="124">
        <f t="shared" si="0"/>
        <v>0</v>
      </c>
    </row>
    <row r="26" spans="1:48" ht="15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4">
        <f t="shared" si="2"/>
        <v>0</v>
      </c>
      <c r="I26" s="252"/>
      <c r="J26" s="217"/>
      <c r="K26" s="206"/>
      <c r="L26" s="206"/>
      <c r="M26" s="206"/>
      <c r="N26" s="206"/>
      <c r="O26" s="206"/>
      <c r="P26" s="206"/>
      <c r="Q26" s="206"/>
      <c r="R26" s="206"/>
      <c r="S26" s="206"/>
      <c r="T26" s="227"/>
      <c r="U26" s="2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ht="15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18915798</v>
      </c>
      <c r="I27" s="252"/>
      <c r="J27" s="217"/>
      <c r="K27" s="206"/>
      <c r="L27" s="206"/>
      <c r="M27" s="206"/>
      <c r="N27" s="206"/>
      <c r="O27" s="206"/>
      <c r="P27" s="206">
        <v>18915798</v>
      </c>
      <c r="Q27" s="206"/>
      <c r="R27" s="206"/>
      <c r="S27" s="206"/>
      <c r="T27" s="227"/>
      <c r="U27" s="235"/>
      <c r="V27" s="217"/>
      <c r="W27" s="206"/>
      <c r="X27" s="206"/>
      <c r="Y27" s="206"/>
      <c r="Z27" s="206"/>
      <c r="AA27" s="206"/>
      <c r="AB27" s="206">
        <v>18915798</v>
      </c>
      <c r="AC27" s="206"/>
      <c r="AD27" s="206"/>
      <c r="AE27" s="206"/>
      <c r="AF27" s="227"/>
      <c r="AG27" s="228">
        <f t="shared" si="1"/>
        <v>18915798</v>
      </c>
      <c r="AH27" s="124">
        <f t="shared" si="0"/>
        <v>0</v>
      </c>
    </row>
    <row r="28" spans="1:48" ht="1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21573319</v>
      </c>
      <c r="I28" s="252"/>
      <c r="J28" s="217"/>
      <c r="K28" s="206"/>
      <c r="L28" s="206"/>
      <c r="M28" s="206"/>
      <c r="N28" s="206"/>
      <c r="O28" s="206"/>
      <c r="P28" s="206">
        <v>21573319</v>
      </c>
      <c r="Q28" s="206"/>
      <c r="R28" s="206"/>
      <c r="S28" s="206"/>
      <c r="T28" s="227"/>
      <c r="U28" s="235"/>
      <c r="V28" s="217"/>
      <c r="W28" s="206"/>
      <c r="X28" s="206"/>
      <c r="Y28" s="206"/>
      <c r="Z28" s="206"/>
      <c r="AA28" s="206"/>
      <c r="AB28" s="206">
        <v>21573319</v>
      </c>
      <c r="AC28" s="206"/>
      <c r="AD28" s="206"/>
      <c r="AE28" s="206"/>
      <c r="AF28" s="227"/>
      <c r="AG28" s="228">
        <f t="shared" si="1"/>
        <v>21573319</v>
      </c>
      <c r="AH28" s="124">
        <f t="shared" si="0"/>
        <v>0</v>
      </c>
    </row>
    <row r="29" spans="1:48" ht="15.75" thickBot="1">
      <c r="A29" s="672"/>
      <c r="B29" s="52" t="s">
        <v>298</v>
      </c>
      <c r="C29" s="148" t="s">
        <v>29</v>
      </c>
      <c r="D29" s="13"/>
      <c r="E29" s="15"/>
      <c r="F29" s="14"/>
      <c r="G29" s="16"/>
      <c r="H29" s="324">
        <f t="shared" si="2"/>
        <v>32163959.909935996</v>
      </c>
      <c r="I29" s="252"/>
      <c r="J29" s="217"/>
      <c r="K29" s="206"/>
      <c r="L29" s="206"/>
      <c r="M29" s="206"/>
      <c r="N29" s="206"/>
      <c r="O29" s="206"/>
      <c r="P29" s="206"/>
      <c r="Q29" s="206"/>
      <c r="R29" s="206"/>
      <c r="S29" s="206">
        <v>32163959.909935996</v>
      </c>
      <c r="T29" s="227"/>
      <c r="U29" s="235"/>
      <c r="V29" s="217"/>
      <c r="W29" s="206"/>
      <c r="X29" s="206"/>
      <c r="Y29" s="206"/>
      <c r="Z29" s="206"/>
      <c r="AA29" s="206"/>
      <c r="AB29" s="206"/>
      <c r="AC29" s="206"/>
      <c r="AD29" s="206"/>
      <c r="AE29" s="206">
        <v>32163959.909935996</v>
      </c>
      <c r="AF29" s="227"/>
      <c r="AG29" s="228">
        <f>SUM(U29:AF29)</f>
        <v>32163959.909935996</v>
      </c>
      <c r="AH29" s="124">
        <f>+H29-AG29</f>
        <v>0</v>
      </c>
    </row>
    <row r="30" spans="1:48" ht="15.75" thickBot="1">
      <c r="A30" s="743" t="s">
        <v>36</v>
      </c>
      <c r="B30" s="744"/>
      <c r="C30" s="89"/>
      <c r="D30" s="90">
        <f>SUM(D16:D26)</f>
        <v>1973128200</v>
      </c>
      <c r="E30" s="91"/>
      <c r="F30" s="92"/>
      <c r="G30" s="93"/>
      <c r="H30" s="362">
        <f>SUM(H16:H28)</f>
        <v>2142415440.95</v>
      </c>
      <c r="I30" s="363">
        <f>SUM(I16:I28)</f>
        <v>164427350</v>
      </c>
      <c r="J30" s="363">
        <f t="shared" ref="J30:O30" si="3">SUM(J16:J28)</f>
        <v>165912756</v>
      </c>
      <c r="K30" s="363">
        <f t="shared" si="3"/>
        <v>165170052.94999999</v>
      </c>
      <c r="L30" s="363">
        <f t="shared" si="3"/>
        <v>204366687</v>
      </c>
      <c r="M30" s="363">
        <f t="shared" si="3"/>
        <v>165115146</v>
      </c>
      <c r="N30" s="363">
        <f t="shared" si="3"/>
        <v>193019953</v>
      </c>
      <c r="O30" s="363">
        <f t="shared" si="3"/>
        <v>165115146</v>
      </c>
      <c r="P30" s="363">
        <f t="shared" ref="P30:AF30" si="4">SUM(P16:P28)</f>
        <v>205604263</v>
      </c>
      <c r="Q30" s="363">
        <f t="shared" si="4"/>
        <v>192057286</v>
      </c>
      <c r="R30" s="363">
        <f t="shared" si="4"/>
        <v>164852427</v>
      </c>
      <c r="S30" s="363">
        <f t="shared" si="4"/>
        <v>164852427</v>
      </c>
      <c r="T30" s="363">
        <f t="shared" si="4"/>
        <v>191921947</v>
      </c>
      <c r="U30" s="211">
        <f t="shared" si="4"/>
        <v>164427350</v>
      </c>
      <c r="V30" s="211">
        <f t="shared" si="4"/>
        <v>165912756</v>
      </c>
      <c r="W30" s="211">
        <f t="shared" si="4"/>
        <v>165170053</v>
      </c>
      <c r="X30" s="211">
        <f t="shared" si="4"/>
        <v>204366687</v>
      </c>
      <c r="Y30" s="211">
        <f t="shared" si="4"/>
        <v>165115146</v>
      </c>
      <c r="Z30" s="211">
        <f t="shared" si="4"/>
        <v>193019953</v>
      </c>
      <c r="AA30" s="211">
        <f t="shared" si="4"/>
        <v>165115146</v>
      </c>
      <c r="AB30" s="211">
        <f t="shared" si="4"/>
        <v>205604263</v>
      </c>
      <c r="AC30" s="211">
        <f t="shared" si="4"/>
        <v>192057286</v>
      </c>
      <c r="AD30" s="211">
        <f t="shared" si="4"/>
        <v>164852427</v>
      </c>
      <c r="AE30" s="211">
        <f t="shared" si="4"/>
        <v>164852427</v>
      </c>
      <c r="AF30" s="211">
        <f t="shared" si="4"/>
        <v>191921947</v>
      </c>
      <c r="AG30" s="339">
        <f>SUM(U30:AF30)</f>
        <v>2142415441</v>
      </c>
      <c r="AH30" s="119">
        <f t="shared" si="0"/>
        <v>-4.999995231628418E-2</v>
      </c>
    </row>
    <row r="31" spans="1:48" ht="15" thickBot="1">
      <c r="D31" s="65">
        <v>10728082</v>
      </c>
      <c r="E31" s="5">
        <v>0.7</v>
      </c>
      <c r="F31" s="5">
        <v>0.3</v>
      </c>
      <c r="G31" s="5">
        <v>8.3333333333333329E-2</v>
      </c>
    </row>
    <row r="32" spans="1:48" ht="44.25" customHeight="1" thickBot="1">
      <c r="A32" s="80"/>
      <c r="B32" s="731" t="s">
        <v>72</v>
      </c>
      <c r="C32" s="731"/>
      <c r="D32" s="732"/>
      <c r="E32" s="733" t="s">
        <v>25</v>
      </c>
      <c r="F32" s="734"/>
      <c r="G32" s="735"/>
      <c r="H32" s="774" t="s">
        <v>38</v>
      </c>
      <c r="I32" s="775"/>
      <c r="J32" s="775"/>
      <c r="K32" s="775"/>
      <c r="L32" s="775"/>
      <c r="M32" s="775"/>
      <c r="N32" s="776"/>
      <c r="O32" s="777"/>
      <c r="P32" s="777"/>
      <c r="Q32" s="777"/>
      <c r="R32" s="777"/>
      <c r="S32" s="777"/>
      <c r="T32" s="778"/>
      <c r="U32" s="768" t="s">
        <v>39</v>
      </c>
      <c r="V32" s="769"/>
      <c r="W32" s="769"/>
      <c r="X32" s="769"/>
      <c r="Y32" s="769"/>
      <c r="Z32" s="769"/>
      <c r="AA32" s="769"/>
      <c r="AB32" s="769"/>
      <c r="AC32" s="769"/>
      <c r="AD32" s="769"/>
      <c r="AE32" s="769"/>
      <c r="AF32" s="769"/>
      <c r="AG32" s="770"/>
      <c r="AK32" s="751" t="s">
        <v>177</v>
      </c>
      <c r="AL32" s="752"/>
      <c r="AM32" s="752"/>
      <c r="AN32" s="752"/>
      <c r="AO32" s="752"/>
      <c r="AP32" s="752"/>
      <c r="AQ32" s="752"/>
      <c r="AR32" s="752"/>
      <c r="AS32" s="752"/>
      <c r="AT32" s="752"/>
      <c r="AU32" s="752"/>
      <c r="AV32" s="753"/>
    </row>
    <row r="33" spans="1:53" ht="30.75" thickBot="1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7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16" t="s">
        <v>12</v>
      </c>
      <c r="AL33" s="417" t="s">
        <v>13</v>
      </c>
      <c r="AM33" s="417" t="s">
        <v>14</v>
      </c>
      <c r="AN33" s="417" t="s">
        <v>15</v>
      </c>
      <c r="AO33" s="417" t="s">
        <v>16</v>
      </c>
      <c r="AP33" s="417" t="s">
        <v>17</v>
      </c>
      <c r="AQ33" s="417" t="s">
        <v>18</v>
      </c>
      <c r="AR33" s="417" t="s">
        <v>19</v>
      </c>
      <c r="AS33" s="417" t="s">
        <v>20</v>
      </c>
      <c r="AT33" s="417" t="s">
        <v>21</v>
      </c>
      <c r="AU33" s="417" t="s">
        <v>22</v>
      </c>
      <c r="AV33" s="418" t="s">
        <v>23</v>
      </c>
      <c r="AW33" s="422" t="s">
        <v>178</v>
      </c>
      <c r="AX33" s="167" t="s">
        <v>179</v>
      </c>
    </row>
    <row r="34" spans="1:53" ht="15.75" thickBot="1">
      <c r="A34" s="573">
        <v>1</v>
      </c>
      <c r="B34" s="608" t="s">
        <v>99</v>
      </c>
      <c r="C34" s="615">
        <v>1383</v>
      </c>
      <c r="D34" s="610">
        <v>511846</v>
      </c>
      <c r="E34" s="611">
        <f>+D34*E31</f>
        <v>358292.19999999995</v>
      </c>
      <c r="F34" s="612">
        <f>+D34*F31</f>
        <v>153553.79999999999</v>
      </c>
      <c r="G34" s="613"/>
      <c r="H34" s="334">
        <f>SUM(I34:T34)</f>
        <v>511845.99999999994</v>
      </c>
      <c r="I34" s="331"/>
      <c r="J34" s="249"/>
      <c r="K34" s="250">
        <v>358292.19999999995</v>
      </c>
      <c r="L34" s="212"/>
      <c r="M34" s="212"/>
      <c r="N34" s="212"/>
      <c r="O34" s="212"/>
      <c r="P34" s="212"/>
      <c r="Q34" s="212"/>
      <c r="R34" s="212">
        <v>153553.79999999999</v>
      </c>
      <c r="S34" s="212"/>
      <c r="T34" s="248"/>
      <c r="U34" s="234"/>
      <c r="V34" s="220"/>
      <c r="W34" s="209">
        <v>358292.19999999995</v>
      </c>
      <c r="X34" s="209"/>
      <c r="Y34" s="209"/>
      <c r="Z34" s="209"/>
      <c r="AA34" s="209"/>
      <c r="AB34" s="209"/>
      <c r="AC34" s="209"/>
      <c r="AD34" s="209"/>
      <c r="AE34" s="209"/>
      <c r="AF34" s="209"/>
      <c r="AG34" s="218">
        <f>SUM(U34:AF34)</f>
        <v>358292.19999999995</v>
      </c>
      <c r="AH34" s="123">
        <f t="shared" ref="AH34:AH67" si="5">+H34-AG34</f>
        <v>153553.79999999999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>
        <v>416252.34354203299</v>
      </c>
      <c r="AW34" s="226">
        <f>SUM(AK34:AV34)</f>
        <v>416252.34354203299</v>
      </c>
      <c r="AX34" s="123">
        <f>+AG34-AW34</f>
        <v>-57960.143542033038</v>
      </c>
      <c r="AY34" s="6">
        <v>10847999</v>
      </c>
      <c r="AZ34" s="149">
        <v>1</v>
      </c>
    </row>
    <row r="35" spans="1:53" ht="15">
      <c r="A35" s="573">
        <v>2</v>
      </c>
      <c r="B35" s="608" t="s">
        <v>100</v>
      </c>
      <c r="C35" s="615">
        <v>1383</v>
      </c>
      <c r="D35" s="610">
        <v>12827430</v>
      </c>
      <c r="E35" s="583">
        <f>+D35*E31</f>
        <v>8979201</v>
      </c>
      <c r="F35" s="584">
        <f>+D35*F31</f>
        <v>3848229</v>
      </c>
      <c r="G35" s="614"/>
      <c r="H35" s="324">
        <f>SUM(I35:T35)</f>
        <v>12827430</v>
      </c>
      <c r="I35" s="250"/>
      <c r="J35" s="251"/>
      <c r="K35" s="250">
        <v>8979201</v>
      </c>
      <c r="L35" s="212"/>
      <c r="M35" s="212"/>
      <c r="N35" s="212"/>
      <c r="O35" s="212"/>
      <c r="P35" s="212"/>
      <c r="Q35" s="212"/>
      <c r="R35" s="212">
        <v>3848229</v>
      </c>
      <c r="S35" s="212"/>
      <c r="T35" s="248"/>
      <c r="U35" s="237"/>
      <c r="V35" s="217"/>
      <c r="W35" s="212">
        <v>8979201</v>
      </c>
      <c r="X35" s="212"/>
      <c r="Y35" s="212"/>
      <c r="Z35" s="212"/>
      <c r="AA35" s="212"/>
      <c r="AB35" s="212"/>
      <c r="AC35" s="212"/>
      <c r="AD35" s="212"/>
      <c r="AE35" s="212"/>
      <c r="AF35" s="212"/>
      <c r="AG35" s="218">
        <f>SUM(U35:AF35)</f>
        <v>8979201</v>
      </c>
      <c r="AH35" s="123">
        <f t="shared" si="5"/>
        <v>3848229</v>
      </c>
      <c r="AI35" s="170">
        <f>+AH34+AH35</f>
        <v>4001782.8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>
        <v>10431746.656457966</v>
      </c>
      <c r="AW35" s="226">
        <f>SUM(AK35:AV35)</f>
        <v>10431746.656457966</v>
      </c>
      <c r="AX35" s="431">
        <f t="shared" ref="AX35:AX77" si="6">+AG35-AW35</f>
        <v>-1452545.6564579662</v>
      </c>
      <c r="AY35" s="170">
        <f>+AX34+AX35</f>
        <v>-1510505.7999999993</v>
      </c>
      <c r="AZ35" s="149">
        <f>+(AX34*AZ34)/AY35</f>
        <v>3.8371347890245149E-2</v>
      </c>
      <c r="BA35" s="6">
        <f>+AY34*AZ35</f>
        <v>416252.34354203148</v>
      </c>
    </row>
    <row r="36" spans="1:53" ht="15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7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1">
        <f t="shared" si="6"/>
        <v>0</v>
      </c>
      <c r="AZ36" s="149">
        <f>+(AX35*AZ34)/AY35</f>
        <v>0.96162865210975479</v>
      </c>
      <c r="BA36" s="6">
        <f>+AY34*AZ36</f>
        <v>10431746.656457968</v>
      </c>
    </row>
    <row r="37" spans="1:53" ht="15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1">
        <f t="shared" si="6"/>
        <v>0</v>
      </c>
    </row>
    <row r="38" spans="1:53" ht="15">
      <c r="A38" s="573">
        <v>5</v>
      </c>
      <c r="B38" s="575" t="s">
        <v>101</v>
      </c>
      <c r="C38" s="576">
        <v>1498</v>
      </c>
      <c r="D38" s="577">
        <v>26102519</v>
      </c>
      <c r="E38" s="578">
        <f>+D38*$E$31</f>
        <v>18271763.299999997</v>
      </c>
      <c r="F38" s="579">
        <f>+D38*$F$31</f>
        <v>7830755.6999999993</v>
      </c>
      <c r="G38" s="580"/>
      <c r="H38" s="324">
        <f t="shared" si="7"/>
        <v>26102518.999999996</v>
      </c>
      <c r="I38" s="252"/>
      <c r="J38" s="251"/>
      <c r="K38" s="252">
        <v>18271763.299999997</v>
      </c>
      <c r="L38" s="206"/>
      <c r="M38" s="206"/>
      <c r="N38" s="206"/>
      <c r="O38" s="212"/>
      <c r="P38" s="212"/>
      <c r="Q38" s="212"/>
      <c r="R38" s="212">
        <v>7830755.6999999993</v>
      </c>
      <c r="S38" s="212"/>
      <c r="T38" s="248"/>
      <c r="U38" s="235"/>
      <c r="V38" s="217"/>
      <c r="W38" s="206">
        <v>18271763.299999997</v>
      </c>
      <c r="X38" s="206"/>
      <c r="Y38" s="206"/>
      <c r="Z38" s="206"/>
      <c r="AA38" s="206"/>
      <c r="AB38" s="206"/>
      <c r="AC38" s="206"/>
      <c r="AD38" s="206">
        <v>7830755.6999999993</v>
      </c>
      <c r="AE38" s="206"/>
      <c r="AF38" s="206"/>
      <c r="AG38" s="219">
        <f>SUM(U38:AF38)</f>
        <v>26102518.999999996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>
        <v>887235</v>
      </c>
      <c r="AT38" s="206"/>
      <c r="AU38" s="206"/>
      <c r="AV38" s="227"/>
      <c r="AW38" s="228">
        <f>SUM(AK38:AV38)</f>
        <v>887235</v>
      </c>
      <c r="AX38" s="431">
        <f t="shared" si="6"/>
        <v>25215283.999999996</v>
      </c>
    </row>
    <row r="39" spans="1:53" ht="15">
      <c r="A39" s="573">
        <v>6</v>
      </c>
      <c r="B39" s="575" t="s">
        <v>102</v>
      </c>
      <c r="C39" s="576">
        <v>1498</v>
      </c>
      <c r="D39" s="577">
        <v>10296000</v>
      </c>
      <c r="E39" s="578">
        <f>+D39*$E$31</f>
        <v>7207200</v>
      </c>
      <c r="F39" s="579">
        <f>+D39*$F$31</f>
        <v>3088800</v>
      </c>
      <c r="G39" s="580"/>
      <c r="H39" s="324">
        <f t="shared" si="7"/>
        <v>10296000</v>
      </c>
      <c r="I39" s="252"/>
      <c r="J39" s="251"/>
      <c r="K39" s="252">
        <v>7207200</v>
      </c>
      <c r="L39" s="206"/>
      <c r="M39" s="206"/>
      <c r="N39" s="206"/>
      <c r="O39" s="212"/>
      <c r="P39" s="212"/>
      <c r="Q39" s="212"/>
      <c r="R39" s="212">
        <v>3088800</v>
      </c>
      <c r="S39" s="212"/>
      <c r="T39" s="248"/>
      <c r="U39" s="235"/>
      <c r="V39" s="217"/>
      <c r="W39" s="206">
        <v>7207200</v>
      </c>
      <c r="X39" s="206"/>
      <c r="Y39" s="206"/>
      <c r="Z39" s="206"/>
      <c r="AA39" s="206"/>
      <c r="AB39" s="206"/>
      <c r="AC39" s="206"/>
      <c r="AD39" s="206">
        <v>3088800</v>
      </c>
      <c r="AE39" s="206"/>
      <c r="AF39" s="206"/>
      <c r="AG39" s="219">
        <f t="shared" ref="AG39:AG67" si="8">SUM(U39:AF39)</f>
        <v>10296000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>
        <v>1368320</v>
      </c>
      <c r="AV39" s="227"/>
      <c r="AW39" s="228">
        <f t="shared" ref="AW39:AW45" si="9">SUM(AK39:AV39)</f>
        <v>1368320</v>
      </c>
      <c r="AX39" s="431">
        <f t="shared" si="6"/>
        <v>8927680</v>
      </c>
    </row>
    <row r="40" spans="1:53" ht="15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1">
        <f t="shared" si="6"/>
        <v>0</v>
      </c>
    </row>
    <row r="41" spans="1:53" ht="15">
      <c r="A41" s="573">
        <v>8</v>
      </c>
      <c r="B41" s="575" t="s">
        <v>76</v>
      </c>
      <c r="C41" s="576">
        <v>1617</v>
      </c>
      <c r="D41" s="577">
        <v>30491110</v>
      </c>
      <c r="E41" s="578">
        <f>+D41*E31</f>
        <v>21343777</v>
      </c>
      <c r="F41" s="579">
        <f>+D41*F31</f>
        <v>9147333</v>
      </c>
      <c r="G41" s="580"/>
      <c r="H41" s="324">
        <f t="shared" si="7"/>
        <v>30491110</v>
      </c>
      <c r="I41" s="252"/>
      <c r="J41" s="251"/>
      <c r="K41" s="252">
        <v>21343777</v>
      </c>
      <c r="L41" s="206"/>
      <c r="M41" s="206"/>
      <c r="N41" s="206"/>
      <c r="O41" s="212"/>
      <c r="P41" s="212"/>
      <c r="Q41" s="212"/>
      <c r="R41" s="212">
        <v>9147333</v>
      </c>
      <c r="S41" s="212"/>
      <c r="T41" s="248"/>
      <c r="U41" s="2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>
        <v>2327046</v>
      </c>
      <c r="AN41" s="206"/>
      <c r="AO41" s="206"/>
      <c r="AP41" s="206">
        <v>6919458</v>
      </c>
      <c r="AQ41" s="206">
        <v>2327046</v>
      </c>
      <c r="AR41" s="206"/>
      <c r="AS41" s="206">
        <v>6984315</v>
      </c>
      <c r="AT41" s="206"/>
      <c r="AU41" s="206">
        <v>4656210</v>
      </c>
      <c r="AV41" s="227"/>
      <c r="AW41" s="228">
        <f t="shared" si="9"/>
        <v>23214075</v>
      </c>
      <c r="AX41" s="431">
        <f t="shared" si="6"/>
        <v>7277035</v>
      </c>
    </row>
    <row r="42" spans="1:53" ht="15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1">
        <f t="shared" si="6"/>
        <v>0</v>
      </c>
    </row>
    <row r="43" spans="1:53" ht="15">
      <c r="A43" s="573">
        <v>10</v>
      </c>
      <c r="B43" s="575" t="s">
        <v>104</v>
      </c>
      <c r="C43" s="576">
        <v>1497</v>
      </c>
      <c r="D43" s="577">
        <v>30375467</v>
      </c>
      <c r="E43" s="578">
        <f>+D43*E31</f>
        <v>21262826.899999999</v>
      </c>
      <c r="F43" s="579">
        <f>+D43*F31</f>
        <v>9112640.0999999996</v>
      </c>
      <c r="G43" s="580"/>
      <c r="H43" s="324">
        <f t="shared" si="7"/>
        <v>30375466.899999999</v>
      </c>
      <c r="I43" s="252"/>
      <c r="J43" s="251"/>
      <c r="K43" s="252">
        <v>21262826.899999999</v>
      </c>
      <c r="L43" s="206"/>
      <c r="M43" s="206"/>
      <c r="N43" s="206"/>
      <c r="O43" s="212"/>
      <c r="P43" s="212"/>
      <c r="Q43" s="212"/>
      <c r="R43" s="212">
        <v>9112640</v>
      </c>
      <c r="S43" s="212"/>
      <c r="T43" s="248"/>
      <c r="U43" s="235"/>
      <c r="V43" s="217"/>
      <c r="W43" s="206">
        <v>21262827</v>
      </c>
      <c r="X43" s="206"/>
      <c r="Y43" s="206"/>
      <c r="Z43" s="206"/>
      <c r="AA43" s="206"/>
      <c r="AB43" s="206"/>
      <c r="AC43" s="206"/>
      <c r="AD43" s="206">
        <v>9112640</v>
      </c>
      <c r="AE43" s="206"/>
      <c r="AF43" s="206"/>
      <c r="AG43" s="219">
        <f t="shared" si="8"/>
        <v>30375467</v>
      </c>
      <c r="AH43" s="124">
        <f t="shared" si="5"/>
        <v>-0.10000000149011612</v>
      </c>
      <c r="AK43" s="235"/>
      <c r="AL43" s="217"/>
      <c r="AM43" s="206">
        <v>4666360</v>
      </c>
      <c r="AN43" s="206"/>
      <c r="AO43" s="206"/>
      <c r="AP43" s="206">
        <v>7232140</v>
      </c>
      <c r="AQ43" s="206"/>
      <c r="AR43" s="206">
        <v>2404372</v>
      </c>
      <c r="AS43" s="206">
        <v>7213116</v>
      </c>
      <c r="AT43" s="206"/>
      <c r="AU43" s="206"/>
      <c r="AV43" s="227"/>
      <c r="AW43" s="228">
        <f t="shared" si="9"/>
        <v>21515988</v>
      </c>
      <c r="AX43" s="431">
        <f t="shared" si="6"/>
        <v>8859479</v>
      </c>
    </row>
    <row r="44" spans="1:53" ht="15">
      <c r="A44" s="18">
        <v>11</v>
      </c>
      <c r="B44" s="7" t="s">
        <v>78</v>
      </c>
      <c r="C44" s="147"/>
      <c r="D44" s="13"/>
      <c r="E44" s="142"/>
      <c r="F44" s="143"/>
      <c r="G44" s="160"/>
      <c r="H44" s="324">
        <f t="shared" si="7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1">
        <f t="shared" si="6"/>
        <v>0</v>
      </c>
    </row>
    <row r="45" spans="1:53" ht="15">
      <c r="A45" s="573">
        <v>12</v>
      </c>
      <c r="B45" s="619" t="s">
        <v>79</v>
      </c>
      <c r="C45" s="576">
        <v>1451</v>
      </c>
      <c r="D45" s="577">
        <v>20466950</v>
      </c>
      <c r="E45" s="578">
        <f>+D45*E31</f>
        <v>14326865</v>
      </c>
      <c r="F45" s="579">
        <f>+D45*F31</f>
        <v>6140085</v>
      </c>
      <c r="G45" s="580"/>
      <c r="H45" s="324">
        <f t="shared" si="7"/>
        <v>20466950</v>
      </c>
      <c r="I45" s="252"/>
      <c r="J45" s="221"/>
      <c r="K45" s="252">
        <v>14326865</v>
      </c>
      <c r="L45" s="206"/>
      <c r="M45" s="206"/>
      <c r="N45" s="206"/>
      <c r="O45" s="212"/>
      <c r="P45" s="212"/>
      <c r="Q45" s="212"/>
      <c r="R45" s="212">
        <v>6140085</v>
      </c>
      <c r="S45" s="212"/>
      <c r="T45" s="248"/>
      <c r="U45" s="235"/>
      <c r="V45" s="217"/>
      <c r="W45" s="206">
        <v>14326865</v>
      </c>
      <c r="X45" s="206"/>
      <c r="Y45" s="206"/>
      <c r="Z45" s="206"/>
      <c r="AA45" s="206"/>
      <c r="AB45" s="206"/>
      <c r="AC45" s="206"/>
      <c r="AD45" s="206"/>
      <c r="AE45" s="206"/>
      <c r="AF45" s="206"/>
      <c r="AG45" s="219">
        <f t="shared" si="8"/>
        <v>14326865</v>
      </c>
      <c r="AH45" s="124">
        <f t="shared" si="5"/>
        <v>6140085</v>
      </c>
      <c r="AK45" s="235"/>
      <c r="AL45" s="217"/>
      <c r="AM45" s="206"/>
      <c r="AN45" s="206"/>
      <c r="AO45" s="206"/>
      <c r="AP45" s="206"/>
      <c r="AQ45" s="206"/>
      <c r="AR45" s="206"/>
      <c r="AS45" s="206"/>
      <c r="AT45" s="206"/>
      <c r="AU45" s="206"/>
      <c r="AV45" s="227">
        <v>15104186</v>
      </c>
      <c r="AW45" s="228">
        <f t="shared" si="9"/>
        <v>15104186</v>
      </c>
      <c r="AX45" s="431">
        <f t="shared" si="6"/>
        <v>-777321</v>
      </c>
    </row>
    <row r="46" spans="1:53" ht="15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>
        <f>SUM(V34:V45)</f>
        <v>0</v>
      </c>
      <c r="W46" s="213"/>
      <c r="X46" s="213">
        <f>SUM(X34:X45)</f>
        <v>0</v>
      </c>
      <c r="Y46" s="213">
        <f>SUM(Y34:Y45)</f>
        <v>0</v>
      </c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37"/>
      <c r="AW46" s="228">
        <f>SUM(AK46:AV46)</f>
        <v>0</v>
      </c>
      <c r="AX46" s="431">
        <f t="shared" si="6"/>
        <v>0</v>
      </c>
    </row>
    <row r="47" spans="1:53" ht="15">
      <c r="A47" s="573">
        <v>14</v>
      </c>
      <c r="B47" s="575" t="s">
        <v>81</v>
      </c>
      <c r="C47" s="576">
        <v>1729</v>
      </c>
      <c r="D47" s="577">
        <v>33997850</v>
      </c>
      <c r="E47" s="578">
        <f>+D47*E31</f>
        <v>23798495</v>
      </c>
      <c r="F47" s="579">
        <f>+D47*F31</f>
        <v>10199355</v>
      </c>
      <c r="G47" s="580"/>
      <c r="H47" s="324">
        <f t="shared" si="7"/>
        <v>33997850</v>
      </c>
      <c r="I47" s="252"/>
      <c r="J47" s="221"/>
      <c r="K47" s="252">
        <v>23798495</v>
      </c>
      <c r="L47" s="206"/>
      <c r="M47" s="206"/>
      <c r="N47" s="206"/>
      <c r="O47" s="212"/>
      <c r="P47" s="212"/>
      <c r="Q47" s="212"/>
      <c r="R47" s="212">
        <v>10199355</v>
      </c>
      <c r="S47" s="212"/>
      <c r="T47" s="248"/>
      <c r="U47" s="235"/>
      <c r="V47" s="206"/>
      <c r="W47" s="206">
        <v>23798495</v>
      </c>
      <c r="X47" s="206"/>
      <c r="Y47" s="206"/>
      <c r="Z47" s="206"/>
      <c r="AA47" s="206"/>
      <c r="AB47" s="206"/>
      <c r="AC47" s="206"/>
      <c r="AD47" s="206">
        <v>10199355</v>
      </c>
      <c r="AE47" s="206"/>
      <c r="AF47" s="206"/>
      <c r="AG47" s="219">
        <f t="shared" si="8"/>
        <v>33997850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>
        <v>1206469</v>
      </c>
      <c r="AR47" s="206"/>
      <c r="AS47" s="206">
        <v>5348500</v>
      </c>
      <c r="AT47" s="206"/>
      <c r="AU47" s="206">
        <v>910000</v>
      </c>
      <c r="AV47" s="227"/>
      <c r="AW47" s="228">
        <f t="shared" ref="AW47:AW67" si="10">SUM(AK47:AV47)</f>
        <v>7464969</v>
      </c>
      <c r="AX47" s="431">
        <f t="shared" si="6"/>
        <v>26532881</v>
      </c>
    </row>
    <row r="48" spans="1:53" ht="15">
      <c r="A48" s="573">
        <v>15</v>
      </c>
      <c r="B48" s="575" t="s">
        <v>82</v>
      </c>
      <c r="C48" s="576">
        <v>1439</v>
      </c>
      <c r="D48" s="577">
        <v>75570048</v>
      </c>
      <c r="E48" s="578">
        <f>+D48*G31</f>
        <v>6297504</v>
      </c>
      <c r="F48" s="579">
        <f>+D48*G31</f>
        <v>6297504</v>
      </c>
      <c r="G48" s="580">
        <f>+D48*G31</f>
        <v>6297504</v>
      </c>
      <c r="H48" s="324">
        <f t="shared" si="7"/>
        <v>75570048</v>
      </c>
      <c r="I48" s="252"/>
      <c r="J48" s="221"/>
      <c r="K48" s="252">
        <v>18892512</v>
      </c>
      <c r="L48" s="206">
        <v>6297504</v>
      </c>
      <c r="M48" s="206">
        <v>6297504</v>
      </c>
      <c r="N48" s="206">
        <v>6297504</v>
      </c>
      <c r="O48" s="212">
        <v>6297504</v>
      </c>
      <c r="P48" s="212">
        <v>6297504</v>
      </c>
      <c r="Q48" s="212">
        <v>6297504</v>
      </c>
      <c r="R48" s="212">
        <v>6297504</v>
      </c>
      <c r="S48" s="212">
        <v>6297504</v>
      </c>
      <c r="T48" s="248">
        <v>6297504</v>
      </c>
      <c r="U48" s="235"/>
      <c r="V48" s="206"/>
      <c r="W48" s="206">
        <v>18892512</v>
      </c>
      <c r="X48" s="206">
        <v>6297504</v>
      </c>
      <c r="Y48" s="206">
        <v>6297504</v>
      </c>
      <c r="Z48" s="206"/>
      <c r="AA48" s="206">
        <v>6297504</v>
      </c>
      <c r="AB48" s="206"/>
      <c r="AC48" s="206">
        <f>6297504+6297504</f>
        <v>12595008</v>
      </c>
      <c r="AD48" s="206">
        <v>6297504</v>
      </c>
      <c r="AE48" s="206">
        <f>6297504+6297504</f>
        <v>12595008</v>
      </c>
      <c r="AF48" s="206">
        <v>6297504</v>
      </c>
      <c r="AG48" s="219">
        <f t="shared" si="8"/>
        <v>75570048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>
        <v>31586626</v>
      </c>
      <c r="AR48" s="206"/>
      <c r="AS48" s="206">
        <v>19892789</v>
      </c>
      <c r="AT48" s="206"/>
      <c r="AU48" s="206">
        <v>21015525</v>
      </c>
      <c r="AV48" s="227"/>
      <c r="AW48" s="228">
        <f t="shared" si="10"/>
        <v>72494940</v>
      </c>
      <c r="AX48" s="431">
        <f t="shared" si="6"/>
        <v>3075108</v>
      </c>
    </row>
    <row r="49" spans="1:53" ht="15">
      <c r="A49" s="573">
        <v>16</v>
      </c>
      <c r="B49" s="575" t="s">
        <v>83</v>
      </c>
      <c r="C49" s="576">
        <v>1496</v>
      </c>
      <c r="D49" s="577">
        <v>21530304</v>
      </c>
      <c r="E49" s="578">
        <f>+D49*E31</f>
        <v>15071212.799999999</v>
      </c>
      <c r="F49" s="579">
        <f>+D49*F31</f>
        <v>6459091.2000000002</v>
      </c>
      <c r="G49" s="580"/>
      <c r="H49" s="324">
        <f t="shared" si="7"/>
        <v>21530304</v>
      </c>
      <c r="I49" s="252"/>
      <c r="J49" s="221"/>
      <c r="K49" s="252">
        <v>15071213</v>
      </c>
      <c r="L49" s="206"/>
      <c r="M49" s="206"/>
      <c r="N49" s="206"/>
      <c r="O49" s="212"/>
      <c r="P49" s="212"/>
      <c r="Q49" s="212"/>
      <c r="R49" s="212">
        <v>6459091</v>
      </c>
      <c r="S49" s="212"/>
      <c r="T49" s="248"/>
      <c r="U49" s="235"/>
      <c r="V49" s="206"/>
      <c r="W49" s="206">
        <v>15071213</v>
      </c>
      <c r="X49" s="206"/>
      <c r="Y49" s="206"/>
      <c r="Z49" s="206"/>
      <c r="AA49" s="206"/>
      <c r="AB49" s="206"/>
      <c r="AC49" s="206"/>
      <c r="AD49" s="206"/>
      <c r="AE49" s="206">
        <v>6459091</v>
      </c>
      <c r="AF49" s="206"/>
      <c r="AG49" s="219">
        <f t="shared" si="8"/>
        <v>21530304</v>
      </c>
      <c r="AH49" s="124">
        <f t="shared" si="5"/>
        <v>0</v>
      </c>
      <c r="AK49" s="235"/>
      <c r="AL49" s="206"/>
      <c r="AM49" s="206">
        <v>1541359</v>
      </c>
      <c r="AN49" s="206"/>
      <c r="AO49" s="206"/>
      <c r="AP49" s="206"/>
      <c r="AQ49" s="206">
        <v>3759380</v>
      </c>
      <c r="AR49" s="206"/>
      <c r="AS49" s="206">
        <v>8702147</v>
      </c>
      <c r="AT49" s="206"/>
      <c r="AU49" s="206">
        <v>3724850</v>
      </c>
      <c r="AV49" s="227"/>
      <c r="AW49" s="228">
        <f t="shared" si="10"/>
        <v>17727736</v>
      </c>
      <c r="AX49" s="431">
        <f t="shared" si="6"/>
        <v>3802568</v>
      </c>
      <c r="AY49" s="6">
        <v>52111384</v>
      </c>
    </row>
    <row r="50" spans="1:53" ht="15">
      <c r="A50" s="573">
        <v>17</v>
      </c>
      <c r="B50" s="575" t="s">
        <v>95</v>
      </c>
      <c r="C50" s="576">
        <v>1238</v>
      </c>
      <c r="D50" s="577">
        <v>4581525</v>
      </c>
      <c r="E50" s="578">
        <f t="shared" ref="E50:E55" si="11">+D50*$E$31</f>
        <v>3207067.5</v>
      </c>
      <c r="F50" s="579">
        <f t="shared" ref="F50:F55" si="12">+D50*$F$31</f>
        <v>1374457.5</v>
      </c>
      <c r="G50" s="580"/>
      <c r="H50" s="324">
        <f t="shared" si="7"/>
        <v>4581525</v>
      </c>
      <c r="I50" s="252"/>
      <c r="J50" s="221"/>
      <c r="K50" s="252">
        <v>3207067.5</v>
      </c>
      <c r="L50" s="206"/>
      <c r="M50" s="206"/>
      <c r="N50" s="206"/>
      <c r="O50" s="212"/>
      <c r="P50" s="212"/>
      <c r="Q50" s="212"/>
      <c r="R50" s="143">
        <v>1374457.5</v>
      </c>
      <c r="S50" s="212"/>
      <c r="T50" s="248"/>
      <c r="U50" s="235"/>
      <c r="V50" s="206"/>
      <c r="W50" s="206">
        <v>3207067.5</v>
      </c>
      <c r="X50" s="206"/>
      <c r="Y50" s="206"/>
      <c r="Z50" s="206"/>
      <c r="AA50" s="206"/>
      <c r="AB50" s="206"/>
      <c r="AC50" s="206"/>
      <c r="AD50" s="206"/>
      <c r="AE50" s="206"/>
      <c r="AF50" s="206"/>
      <c r="AG50" s="219">
        <f t="shared" si="8"/>
        <v>3207067.5</v>
      </c>
      <c r="AH50" s="124">
        <f t="shared" si="5"/>
        <v>1374457.5</v>
      </c>
      <c r="AI50" s="6"/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>
        <v>3747565.7629898647</v>
      </c>
      <c r="AW50" s="228">
        <f t="shared" si="10"/>
        <v>3747565.7629898647</v>
      </c>
      <c r="AX50" s="431">
        <f t="shared" si="6"/>
        <v>-540498.26298986468</v>
      </c>
      <c r="AY50" s="170">
        <f>+AX50+AX51+AX52+AX53</f>
        <v>-7515842.0999999978</v>
      </c>
      <c r="AZ50" s="149">
        <f>+(AX50*$AZ$34)/$AY$50</f>
        <v>7.191453143884767E-2</v>
      </c>
      <c r="BA50" s="6">
        <f>+$AY$49*AZ50</f>
        <v>3747565.7629898633</v>
      </c>
    </row>
    <row r="51" spans="1:53" ht="15">
      <c r="A51" s="573">
        <v>18</v>
      </c>
      <c r="B51" s="575" t="s">
        <v>96</v>
      </c>
      <c r="C51" s="576">
        <v>1238</v>
      </c>
      <c r="D51" s="577">
        <v>54978300</v>
      </c>
      <c r="E51" s="578">
        <f t="shared" si="11"/>
        <v>38484810</v>
      </c>
      <c r="F51" s="579">
        <f t="shared" si="12"/>
        <v>16493490</v>
      </c>
      <c r="G51" s="580"/>
      <c r="H51" s="324">
        <f t="shared" si="7"/>
        <v>54978300</v>
      </c>
      <c r="I51" s="252"/>
      <c r="J51" s="221"/>
      <c r="K51" s="252">
        <v>38484810</v>
      </c>
      <c r="L51" s="206"/>
      <c r="M51" s="206"/>
      <c r="N51" s="206"/>
      <c r="O51" s="212"/>
      <c r="P51" s="212"/>
      <c r="Q51" s="212"/>
      <c r="R51" s="212">
        <v>5765407.9000000004</v>
      </c>
      <c r="S51" s="212">
        <v>10728082.100000001</v>
      </c>
      <c r="T51" s="248"/>
      <c r="U51" s="235"/>
      <c r="V51" s="206"/>
      <c r="W51" s="206">
        <v>38484810</v>
      </c>
      <c r="X51" s="206"/>
      <c r="Y51" s="206"/>
      <c r="Z51" s="206"/>
      <c r="AA51" s="206"/>
      <c r="AB51" s="206"/>
      <c r="AC51" s="206"/>
      <c r="AD51" s="206"/>
      <c r="AE51" s="206"/>
      <c r="AF51" s="206"/>
      <c r="AG51" s="219">
        <f t="shared" si="8"/>
        <v>38484810</v>
      </c>
      <c r="AH51" s="124">
        <f t="shared" si="5"/>
        <v>16493490</v>
      </c>
      <c r="AI51" s="6"/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>
        <v>44970789.15587838</v>
      </c>
      <c r="AW51" s="228">
        <f t="shared" si="10"/>
        <v>44970789.15587838</v>
      </c>
      <c r="AX51" s="431">
        <f t="shared" si="6"/>
        <v>-6485979.1558783799</v>
      </c>
      <c r="AZ51" s="149">
        <f>+(AX51*$AZ$34)/$AY$50</f>
        <v>0.86297437726617243</v>
      </c>
      <c r="BA51" s="6">
        <f>+$AY$49*AZ51</f>
        <v>44970789.15587838</v>
      </c>
    </row>
    <row r="52" spans="1:53" ht="15">
      <c r="A52" s="573">
        <v>19</v>
      </c>
      <c r="B52" s="575" t="s">
        <v>97</v>
      </c>
      <c r="C52" s="576">
        <v>1238</v>
      </c>
      <c r="D52" s="577">
        <v>2166684</v>
      </c>
      <c r="E52" s="578">
        <f t="shared" si="11"/>
        <v>1516678.7999999998</v>
      </c>
      <c r="F52" s="579">
        <f t="shared" si="12"/>
        <v>650005.19999999995</v>
      </c>
      <c r="G52" s="580"/>
      <c r="H52" s="324">
        <f t="shared" si="7"/>
        <v>2166684</v>
      </c>
      <c r="I52" s="252"/>
      <c r="J52" s="221"/>
      <c r="K52" s="252">
        <v>1516678.7999999998</v>
      </c>
      <c r="L52" s="206"/>
      <c r="M52" s="206"/>
      <c r="N52" s="206"/>
      <c r="O52" s="212"/>
      <c r="P52" s="212"/>
      <c r="Q52" s="212"/>
      <c r="R52" s="212">
        <v>650005.19999999995</v>
      </c>
      <c r="S52" s="212"/>
      <c r="T52" s="248"/>
      <c r="U52" s="235"/>
      <c r="V52" s="206"/>
      <c r="W52" s="206">
        <v>1516678.7999999998</v>
      </c>
      <c r="X52" s="206"/>
      <c r="Y52" s="206"/>
      <c r="Z52" s="206"/>
      <c r="AA52" s="206"/>
      <c r="AB52" s="206"/>
      <c r="AC52" s="206"/>
      <c r="AD52" s="206"/>
      <c r="AE52" s="206"/>
      <c r="AF52" s="206"/>
      <c r="AG52" s="219">
        <f t="shared" si="8"/>
        <v>1516678.7999999998</v>
      </c>
      <c r="AH52" s="124">
        <f t="shared" si="5"/>
        <v>650005.20000000019</v>
      </c>
      <c r="AI52" s="6"/>
      <c r="AJ52" s="473"/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>
        <v>1772289.9640660987</v>
      </c>
      <c r="AW52" s="228">
        <f t="shared" si="10"/>
        <v>1772289.9640660987</v>
      </c>
      <c r="AX52" s="431">
        <f t="shared" si="6"/>
        <v>-255611.16406609886</v>
      </c>
      <c r="AZ52" s="149">
        <f>+(AX52*$AZ$34)/$AY$50</f>
        <v>3.4009650637298369E-2</v>
      </c>
      <c r="BA52" s="6">
        <f>+$AY$49*AZ52</f>
        <v>1772289.9640661001</v>
      </c>
    </row>
    <row r="53" spans="1:53" ht="15">
      <c r="A53" s="573">
        <v>20</v>
      </c>
      <c r="B53" s="575" t="s">
        <v>98</v>
      </c>
      <c r="C53" s="576">
        <v>1238</v>
      </c>
      <c r="D53" s="577">
        <v>1981408</v>
      </c>
      <c r="E53" s="578">
        <f t="shared" si="11"/>
        <v>1386985.5999999999</v>
      </c>
      <c r="F53" s="579">
        <f t="shared" si="12"/>
        <v>594422.4</v>
      </c>
      <c r="G53" s="580"/>
      <c r="H53" s="324">
        <f t="shared" si="7"/>
        <v>1981408</v>
      </c>
      <c r="I53" s="252"/>
      <c r="J53" s="221"/>
      <c r="K53" s="252">
        <v>1386985.5999999999</v>
      </c>
      <c r="L53" s="206"/>
      <c r="M53" s="206"/>
      <c r="N53" s="206"/>
      <c r="O53" s="212"/>
      <c r="P53" s="212"/>
      <c r="Q53" s="212"/>
      <c r="R53" s="212">
        <v>594422.4</v>
      </c>
      <c r="S53" s="212"/>
      <c r="T53" s="248"/>
      <c r="U53" s="235"/>
      <c r="V53" s="206"/>
      <c r="W53" s="206">
        <v>1386985.5999999999</v>
      </c>
      <c r="X53" s="206"/>
      <c r="Y53" s="206"/>
      <c r="Z53" s="206"/>
      <c r="AA53" s="206"/>
      <c r="AB53" s="206"/>
      <c r="AC53" s="206"/>
      <c r="AD53" s="206"/>
      <c r="AE53" s="206"/>
      <c r="AF53" s="206"/>
      <c r="AG53" s="219">
        <f t="shared" si="8"/>
        <v>1386985.5999999999</v>
      </c>
      <c r="AH53" s="124">
        <f t="shared" si="5"/>
        <v>594422.40000000014</v>
      </c>
      <c r="AI53" s="6"/>
      <c r="AJ53" s="473"/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>
        <v>1620739.1170656544</v>
      </c>
      <c r="AW53" s="228">
        <f t="shared" si="10"/>
        <v>1620739.1170656544</v>
      </c>
      <c r="AX53" s="431">
        <f t="shared" si="6"/>
        <v>-233753.51706565451</v>
      </c>
      <c r="AZ53" s="149">
        <f>+(AX53*$AZ$34)/$AY$50</f>
        <v>3.1101440657681535E-2</v>
      </c>
      <c r="BA53" s="6">
        <f>+$AY$49*AZ53</f>
        <v>1620739.1170656551</v>
      </c>
    </row>
    <row r="54" spans="1:53" ht="15">
      <c r="A54" s="573">
        <v>21</v>
      </c>
      <c r="B54" s="575" t="s">
        <v>84</v>
      </c>
      <c r="C54" s="576">
        <v>1973</v>
      </c>
      <c r="D54" s="577">
        <v>12886666</v>
      </c>
      <c r="E54" s="592">
        <f t="shared" si="11"/>
        <v>9020666.1999999993</v>
      </c>
      <c r="F54" s="593">
        <f t="shared" si="12"/>
        <v>3865999.8</v>
      </c>
      <c r="G54" s="594"/>
      <c r="H54" s="324">
        <f t="shared" si="7"/>
        <v>12886666</v>
      </c>
      <c r="I54" s="252"/>
      <c r="J54" s="221"/>
      <c r="K54" s="252"/>
      <c r="L54" s="206">
        <v>9020666</v>
      </c>
      <c r="M54" s="206"/>
      <c r="N54" s="206"/>
      <c r="O54" s="212"/>
      <c r="P54" s="212"/>
      <c r="Q54" s="212"/>
      <c r="R54" s="212">
        <v>3866000</v>
      </c>
      <c r="S54" s="212"/>
      <c r="T54" s="248"/>
      <c r="U54" s="235"/>
      <c r="V54" s="206"/>
      <c r="W54" s="206"/>
      <c r="X54" s="207">
        <v>9020666</v>
      </c>
      <c r="Y54" s="206"/>
      <c r="Z54" s="206"/>
      <c r="AA54" s="206"/>
      <c r="AB54" s="206"/>
      <c r="AC54" s="206"/>
      <c r="AD54" s="206">
        <v>3866000</v>
      </c>
      <c r="AE54" s="206"/>
      <c r="AF54" s="206"/>
      <c r="AG54" s="219">
        <f t="shared" si="8"/>
        <v>12886666</v>
      </c>
      <c r="AH54" s="124">
        <f t="shared" si="5"/>
        <v>0</v>
      </c>
      <c r="AI54" s="170"/>
      <c r="AK54" s="235"/>
      <c r="AL54" s="206"/>
      <c r="AM54" s="206"/>
      <c r="AN54" s="207"/>
      <c r="AO54" s="206"/>
      <c r="AP54" s="206"/>
      <c r="AQ54" s="206"/>
      <c r="AR54" s="206"/>
      <c r="AS54" s="206">
        <v>5473190</v>
      </c>
      <c r="AT54" s="206"/>
      <c r="AU54" s="206">
        <v>1634372</v>
      </c>
      <c r="AV54" s="227"/>
      <c r="AW54" s="228">
        <f t="shared" si="10"/>
        <v>7107562</v>
      </c>
      <c r="AX54" s="431">
        <f t="shared" si="6"/>
        <v>5779104</v>
      </c>
    </row>
    <row r="55" spans="1:53" ht="15">
      <c r="A55" s="573">
        <v>22</v>
      </c>
      <c r="B55" s="575" t="s">
        <v>85</v>
      </c>
      <c r="C55" s="576">
        <v>2613</v>
      </c>
      <c r="D55" s="577">
        <v>13096536</v>
      </c>
      <c r="E55" s="592">
        <f t="shared" si="11"/>
        <v>9167575.1999999993</v>
      </c>
      <c r="F55" s="593">
        <f t="shared" si="12"/>
        <v>3928960.8</v>
      </c>
      <c r="G55" s="594"/>
      <c r="H55" s="324">
        <f t="shared" si="7"/>
        <v>13096536</v>
      </c>
      <c r="I55" s="252"/>
      <c r="J55" s="221"/>
      <c r="K55" s="252"/>
      <c r="L55" s="206"/>
      <c r="M55" s="206">
        <v>9167575</v>
      </c>
      <c r="N55" s="206"/>
      <c r="O55" s="212"/>
      <c r="P55" s="212"/>
      <c r="Q55" s="212"/>
      <c r="R55" s="212">
        <v>3928961</v>
      </c>
      <c r="S55" s="212"/>
      <c r="T55" s="248"/>
      <c r="U55" s="235"/>
      <c r="V55" s="206"/>
      <c r="W55" s="206"/>
      <c r="X55" s="206"/>
      <c r="Y55" s="206">
        <v>9167575</v>
      </c>
      <c r="Z55" s="206"/>
      <c r="AA55" s="206"/>
      <c r="AB55" s="206"/>
      <c r="AC55" s="206"/>
      <c r="AD55" s="206">
        <v>3928961</v>
      </c>
      <c r="AE55" s="206"/>
      <c r="AF55" s="206"/>
      <c r="AG55" s="219">
        <f t="shared" si="8"/>
        <v>13096536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>
        <v>10856496</v>
      </c>
      <c r="AR55" s="206"/>
      <c r="AS55" s="206">
        <v>3233148</v>
      </c>
      <c r="AT55" s="206"/>
      <c r="AU55" s="206"/>
      <c r="AV55" s="227"/>
      <c r="AW55" s="228">
        <f t="shared" si="10"/>
        <v>14089644</v>
      </c>
      <c r="AX55" s="431">
        <f t="shared" si="6"/>
        <v>-993108</v>
      </c>
    </row>
    <row r="56" spans="1:53" ht="15">
      <c r="A56" s="18">
        <v>23</v>
      </c>
      <c r="B56" s="7" t="s">
        <v>86</v>
      </c>
      <c r="C56" s="147"/>
      <c r="D56" s="13"/>
      <c r="E56" s="171"/>
      <c r="F56" s="172"/>
      <c r="G56" s="343"/>
      <c r="H56" s="324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1">
        <f t="shared" si="6"/>
        <v>0</v>
      </c>
    </row>
    <row r="57" spans="1:53" ht="15">
      <c r="A57" s="573">
        <v>24</v>
      </c>
      <c r="B57" s="575" t="s">
        <v>87</v>
      </c>
      <c r="C57" s="576">
        <v>1975</v>
      </c>
      <c r="D57" s="577">
        <v>9611562</v>
      </c>
      <c r="E57" s="592">
        <f>+D57*E31</f>
        <v>6728093.3999999994</v>
      </c>
      <c r="F57" s="593">
        <f>+D57*F31</f>
        <v>2883468.6</v>
      </c>
      <c r="G57" s="594"/>
      <c r="H57" s="324">
        <f t="shared" si="7"/>
        <v>9611562</v>
      </c>
      <c r="I57" s="252"/>
      <c r="J57" s="221"/>
      <c r="K57" s="252">
        <v>6728093</v>
      </c>
      <c r="L57" s="206"/>
      <c r="M57" s="206"/>
      <c r="N57" s="206"/>
      <c r="O57" s="212"/>
      <c r="P57" s="212"/>
      <c r="Q57" s="212"/>
      <c r="R57" s="212">
        <v>2883469</v>
      </c>
      <c r="S57" s="212"/>
      <c r="T57" s="248"/>
      <c r="U57" s="235"/>
      <c r="V57" s="206"/>
      <c r="W57" s="206">
        <v>6728093</v>
      </c>
      <c r="X57" s="206"/>
      <c r="Y57" s="206"/>
      <c r="Z57" s="206"/>
      <c r="AA57" s="206"/>
      <c r="AB57" s="206"/>
      <c r="AC57" s="206"/>
      <c r="AD57" s="206">
        <v>2883469</v>
      </c>
      <c r="AE57" s="206"/>
      <c r="AF57" s="206"/>
      <c r="AG57" s="219">
        <f t="shared" si="8"/>
        <v>9611562</v>
      </c>
      <c r="AH57" s="124">
        <f t="shared" si="5"/>
        <v>0</v>
      </c>
      <c r="AK57" s="235">
        <v>0</v>
      </c>
      <c r="AL57" s="206"/>
      <c r="AM57" s="206">
        <v>755000</v>
      </c>
      <c r="AN57" s="206"/>
      <c r="AO57" s="206">
        <v>0</v>
      </c>
      <c r="AP57" s="206"/>
      <c r="AQ57" s="206">
        <v>708800</v>
      </c>
      <c r="AR57" s="206"/>
      <c r="AS57" s="206">
        <v>5666132</v>
      </c>
      <c r="AT57" s="206"/>
      <c r="AU57" s="206">
        <v>708800</v>
      </c>
      <c r="AV57" s="227"/>
      <c r="AW57" s="228">
        <f t="shared" si="10"/>
        <v>7838732</v>
      </c>
      <c r="AX57" s="431">
        <f t="shared" si="6"/>
        <v>1772830</v>
      </c>
    </row>
    <row r="58" spans="1:53" s="190" customFormat="1" ht="15">
      <c r="A58" s="573">
        <v>25</v>
      </c>
      <c r="B58" s="595" t="s">
        <v>109</v>
      </c>
      <c r="C58" s="603">
        <v>1976</v>
      </c>
      <c r="D58" s="597">
        <v>5345080</v>
      </c>
      <c r="E58" s="604">
        <f>+D58*E31</f>
        <v>3741555.9999999995</v>
      </c>
      <c r="F58" s="605">
        <f>+D58*F31</f>
        <v>1603524</v>
      </c>
      <c r="G58" s="606"/>
      <c r="H58" s="324">
        <f t="shared" si="7"/>
        <v>5345080</v>
      </c>
      <c r="I58" s="253"/>
      <c r="J58" s="232"/>
      <c r="K58" s="253">
        <v>3741556</v>
      </c>
      <c r="L58" s="231"/>
      <c r="M58" s="231"/>
      <c r="N58" s="231"/>
      <c r="O58" s="212"/>
      <c r="P58" s="212"/>
      <c r="Q58" s="212"/>
      <c r="R58" s="212">
        <v>1603524</v>
      </c>
      <c r="S58" s="212"/>
      <c r="T58" s="248"/>
      <c r="U58" s="238"/>
      <c r="V58" s="231"/>
      <c r="W58" s="231">
        <v>3741556</v>
      </c>
      <c r="X58" s="231"/>
      <c r="Y58" s="231"/>
      <c r="Z58" s="231"/>
      <c r="AA58" s="231"/>
      <c r="AB58" s="231"/>
      <c r="AC58" s="231"/>
      <c r="AD58" s="231">
        <v>1603524</v>
      </c>
      <c r="AE58" s="231"/>
      <c r="AF58" s="231"/>
      <c r="AG58" s="219">
        <f t="shared" si="8"/>
        <v>5345080</v>
      </c>
      <c r="AH58" s="124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>
        <v>2342817</v>
      </c>
      <c r="AV58" s="436"/>
      <c r="AW58" s="228">
        <f t="shared" si="10"/>
        <v>2342817</v>
      </c>
      <c r="AX58" s="431">
        <f t="shared" si="6"/>
        <v>3002263</v>
      </c>
    </row>
    <row r="59" spans="1:53" ht="15">
      <c r="A59" s="18">
        <v>26</v>
      </c>
      <c r="B59" s="7" t="s">
        <v>88</v>
      </c>
      <c r="C59" s="147"/>
      <c r="D59" s="13"/>
      <c r="E59" s="171"/>
      <c r="F59" s="172"/>
      <c r="G59" s="343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1">
        <f t="shared" si="6"/>
        <v>0</v>
      </c>
    </row>
    <row r="60" spans="1:53" ht="15">
      <c r="A60" s="18">
        <v>27</v>
      </c>
      <c r="B60" s="7" t="s">
        <v>89</v>
      </c>
      <c r="C60" s="147"/>
      <c r="D60" s="13"/>
      <c r="E60" s="171"/>
      <c r="F60" s="172"/>
      <c r="G60" s="343"/>
      <c r="H60" s="324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1">
        <f t="shared" si="6"/>
        <v>0</v>
      </c>
    </row>
    <row r="61" spans="1:53" ht="15">
      <c r="A61" s="18">
        <v>28</v>
      </c>
      <c r="B61" s="7" t="s">
        <v>110</v>
      </c>
      <c r="C61" s="147"/>
      <c r="D61" s="13"/>
      <c r="E61" s="171"/>
      <c r="F61" s="172"/>
      <c r="G61" s="343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1">
        <f t="shared" si="6"/>
        <v>0</v>
      </c>
    </row>
    <row r="62" spans="1:53" ht="15">
      <c r="A62" s="573">
        <v>29</v>
      </c>
      <c r="B62" s="575" t="s">
        <v>103</v>
      </c>
      <c r="C62" s="576">
        <v>1445</v>
      </c>
      <c r="D62" s="577">
        <v>22796910</v>
      </c>
      <c r="E62" s="592"/>
      <c r="F62" s="593"/>
      <c r="G62" s="594"/>
      <c r="H62" s="324">
        <f t="shared" si="7"/>
        <v>22796910</v>
      </c>
      <c r="I62" s="252"/>
      <c r="J62" s="221"/>
      <c r="K62" s="252">
        <v>22796910</v>
      </c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>
        <v>22796910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22796910</v>
      </c>
      <c r="AH62" s="124">
        <f t="shared" si="5"/>
        <v>0</v>
      </c>
      <c r="AK62" s="235"/>
      <c r="AL62" s="206"/>
      <c r="AM62" s="206"/>
      <c r="AN62" s="206"/>
      <c r="AO62" s="206"/>
      <c r="AP62" s="206">
        <v>22850685</v>
      </c>
      <c r="AQ62" s="206"/>
      <c r="AR62" s="206"/>
      <c r="AS62" s="206"/>
      <c r="AT62" s="206"/>
      <c r="AU62" s="206"/>
      <c r="AV62" s="227"/>
      <c r="AW62" s="228">
        <f t="shared" si="10"/>
        <v>22850685</v>
      </c>
      <c r="AX62" s="431">
        <f t="shared" si="6"/>
        <v>-53775</v>
      </c>
    </row>
    <row r="63" spans="1:53" ht="15">
      <c r="A63" s="573">
        <v>30</v>
      </c>
      <c r="B63" s="575" t="s">
        <v>90</v>
      </c>
      <c r="C63" s="576">
        <v>1867</v>
      </c>
      <c r="D63" s="577">
        <v>62664074</v>
      </c>
      <c r="E63" s="592">
        <f>+D63*E31</f>
        <v>43864851.799999997</v>
      </c>
      <c r="F63" s="593">
        <f>+D63*F31</f>
        <v>18799222.199999999</v>
      </c>
      <c r="G63" s="594"/>
      <c r="H63" s="324">
        <f t="shared" si="7"/>
        <v>62664074</v>
      </c>
      <c r="I63" s="252"/>
      <c r="J63" s="221"/>
      <c r="K63" s="252">
        <v>43864852</v>
      </c>
      <c r="L63" s="206"/>
      <c r="M63" s="206"/>
      <c r="N63" s="206"/>
      <c r="O63" s="212"/>
      <c r="P63" s="212"/>
      <c r="Q63" s="212"/>
      <c r="R63" s="212">
        <v>18799222</v>
      </c>
      <c r="S63" s="212"/>
      <c r="T63" s="248"/>
      <c r="U63" s="235"/>
      <c r="V63" s="206"/>
      <c r="W63" s="206">
        <v>43864852</v>
      </c>
      <c r="X63" s="206"/>
      <c r="Y63" s="206"/>
      <c r="Z63" s="206"/>
      <c r="AA63" s="206"/>
      <c r="AB63" s="206"/>
      <c r="AC63" s="206"/>
      <c r="AD63" s="206">
        <v>18799222</v>
      </c>
      <c r="AE63" s="206"/>
      <c r="AF63" s="206"/>
      <c r="AG63" s="219">
        <f t="shared" si="8"/>
        <v>62664074</v>
      </c>
      <c r="AH63" s="124">
        <f t="shared" si="5"/>
        <v>0</v>
      </c>
      <c r="AK63" s="235"/>
      <c r="AL63" s="206"/>
      <c r="AM63" s="206">
        <v>3015123</v>
      </c>
      <c r="AN63" s="206"/>
      <c r="AO63" s="206"/>
      <c r="AP63" s="206">
        <v>17237017</v>
      </c>
      <c r="AQ63" s="386">
        <v>3802146</v>
      </c>
      <c r="AR63" s="206"/>
      <c r="AS63" s="206"/>
      <c r="AT63" s="206"/>
      <c r="AU63" s="206"/>
      <c r="AV63" s="227">
        <v>30297881</v>
      </c>
      <c r="AW63" s="228">
        <f t="shared" si="10"/>
        <v>54352167</v>
      </c>
      <c r="AX63" s="431">
        <f t="shared" si="6"/>
        <v>8311907</v>
      </c>
    </row>
    <row r="64" spans="1:53" ht="15">
      <c r="A64" s="18">
        <v>31</v>
      </c>
      <c r="B64" s="7" t="s">
        <v>91</v>
      </c>
      <c r="C64" s="147"/>
      <c r="D64" s="13"/>
      <c r="E64" s="171"/>
      <c r="F64" s="172"/>
      <c r="G64" s="343"/>
      <c r="H64" s="324">
        <f t="shared" si="7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1">
        <f t="shared" si="6"/>
        <v>0</v>
      </c>
    </row>
    <row r="65" spans="1:50" ht="15">
      <c r="A65" s="573">
        <v>32</v>
      </c>
      <c r="B65" s="575" t="s">
        <v>92</v>
      </c>
      <c r="C65" s="576">
        <v>1375</v>
      </c>
      <c r="D65" s="577">
        <v>3242540</v>
      </c>
      <c r="E65" s="592">
        <f>+D65*E31</f>
        <v>2269778</v>
      </c>
      <c r="F65" s="593">
        <f>+D65*F31</f>
        <v>972762</v>
      </c>
      <c r="G65" s="594"/>
      <c r="H65" s="324">
        <f t="shared" si="7"/>
        <v>3242540</v>
      </c>
      <c r="I65" s="252"/>
      <c r="J65" s="221"/>
      <c r="K65" s="252">
        <v>2269778</v>
      </c>
      <c r="L65" s="206"/>
      <c r="M65" s="206"/>
      <c r="N65" s="206"/>
      <c r="O65" s="212"/>
      <c r="P65" s="212"/>
      <c r="Q65" s="212"/>
      <c r="R65" s="212">
        <v>972762</v>
      </c>
      <c r="S65" s="212"/>
      <c r="T65" s="248"/>
      <c r="U65" s="235"/>
      <c r="V65" s="206"/>
      <c r="W65" s="206">
        <v>2269778</v>
      </c>
      <c r="X65" s="206"/>
      <c r="Y65" s="206"/>
      <c r="Z65" s="206"/>
      <c r="AA65" s="206"/>
      <c r="AB65" s="206"/>
      <c r="AC65" s="206"/>
      <c r="AD65" s="206"/>
      <c r="AE65" s="206"/>
      <c r="AF65" s="206"/>
      <c r="AG65" s="219">
        <f t="shared" si="8"/>
        <v>2269778</v>
      </c>
      <c r="AH65" s="124">
        <f t="shared" si="5"/>
        <v>972762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>
        <v>4606547</v>
      </c>
      <c r="AW65" s="228">
        <f t="shared" si="10"/>
        <v>4606547</v>
      </c>
      <c r="AX65" s="431">
        <f t="shared" si="6"/>
        <v>-2336769</v>
      </c>
    </row>
    <row r="66" spans="1:50" ht="15">
      <c r="A66" s="18">
        <v>33</v>
      </c>
      <c r="B66" s="52" t="s">
        <v>107</v>
      </c>
      <c r="C66" s="148"/>
      <c r="D66" s="43"/>
      <c r="E66" s="178"/>
      <c r="F66" s="179"/>
      <c r="G66" s="346"/>
      <c r="H66" s="324">
        <f t="shared" si="7"/>
        <v>0</v>
      </c>
      <c r="I66" s="254"/>
      <c r="J66" s="222"/>
      <c r="K66" s="254"/>
      <c r="L66" s="210"/>
      <c r="M66" s="210"/>
      <c r="N66" s="210"/>
      <c r="O66" s="212"/>
      <c r="P66" s="212"/>
      <c r="Q66" s="212"/>
      <c r="R66" s="212"/>
      <c r="S66" s="212"/>
      <c r="T66" s="248"/>
      <c r="U66" s="236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1">
        <f t="shared" si="6"/>
        <v>0</v>
      </c>
    </row>
    <row r="67" spans="1:50" ht="15">
      <c r="A67" s="573">
        <v>34</v>
      </c>
      <c r="B67" s="568" t="s">
        <v>180</v>
      </c>
      <c r="C67" s="569" t="s">
        <v>302</v>
      </c>
      <c r="D67" s="567">
        <f>5901128+49102000+25782742+14604962</f>
        <v>95390832</v>
      </c>
      <c r="E67" s="570">
        <v>4130789.6</v>
      </c>
      <c r="F67" s="571">
        <v>1770338.4</v>
      </c>
      <c r="G67" s="572">
        <f>49102000+25782742</f>
        <v>74884742</v>
      </c>
      <c r="H67" s="324">
        <f t="shared" si="7"/>
        <v>95390832</v>
      </c>
      <c r="I67" s="254"/>
      <c r="J67" s="222"/>
      <c r="K67" s="254">
        <v>4130789</v>
      </c>
      <c r="L67" s="210">
        <v>30240611</v>
      </c>
      <c r="M67" s="210">
        <v>19356278</v>
      </c>
      <c r="N67" s="210"/>
      <c r="O67" s="212"/>
      <c r="P67" s="212">
        <v>18047920</v>
      </c>
      <c r="Q67" s="212"/>
      <c r="R67" s="212">
        <f>6773600+2236672</f>
        <v>9010272</v>
      </c>
      <c r="S67" s="212">
        <v>14604962</v>
      </c>
      <c r="T67" s="248"/>
      <c r="U67" s="236"/>
      <c r="V67" s="210"/>
      <c r="W67" s="210">
        <v>4130789</v>
      </c>
      <c r="X67" s="210">
        <v>30240611</v>
      </c>
      <c r="Y67" s="210">
        <v>19356278</v>
      </c>
      <c r="Z67" s="210"/>
      <c r="AA67" s="210"/>
      <c r="AB67" s="210">
        <v>18047920</v>
      </c>
      <c r="AC67" s="210"/>
      <c r="AD67" s="210">
        <f>6773600+2236672</f>
        <v>9010272</v>
      </c>
      <c r="AE67" s="210">
        <v>14604962</v>
      </c>
      <c r="AF67" s="210"/>
      <c r="AG67" s="219">
        <f t="shared" si="8"/>
        <v>95390832</v>
      </c>
      <c r="AH67" s="124">
        <f t="shared" si="5"/>
        <v>0</v>
      </c>
      <c r="AK67" s="236">
        <v>0</v>
      </c>
      <c r="AL67" s="210">
        <v>0</v>
      </c>
      <c r="AM67" s="210">
        <v>0</v>
      </c>
      <c r="AN67" s="210">
        <v>0</v>
      </c>
      <c r="AO67" s="210">
        <v>0</v>
      </c>
      <c r="AP67" s="210">
        <v>13369210</v>
      </c>
      <c r="AQ67" s="210"/>
      <c r="AR67" s="210"/>
      <c r="AS67" s="210">
        <v>45758890</v>
      </c>
      <c r="AT67" s="210"/>
      <c r="AU67" s="210">
        <v>16740864</v>
      </c>
      <c r="AV67" s="229"/>
      <c r="AW67" s="228">
        <f t="shared" si="10"/>
        <v>75868964</v>
      </c>
      <c r="AX67" s="431">
        <f t="shared" si="6"/>
        <v>19521868</v>
      </c>
    </row>
    <row r="68" spans="1:50" ht="15">
      <c r="A68" s="18">
        <v>35</v>
      </c>
      <c r="B68" s="52" t="s">
        <v>181</v>
      </c>
      <c r="C68" s="148"/>
      <c r="D68" s="43"/>
      <c r="E68" s="178"/>
      <c r="F68" s="179"/>
      <c r="G68" s="346"/>
      <c r="H68" s="324">
        <f t="shared" si="7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3">SUM(U68:AF68)</f>
        <v>0</v>
      </c>
      <c r="AH68" s="124">
        <f t="shared" ref="AH68:AH81" si="14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5">SUM(AK68:AV68)</f>
        <v>0</v>
      </c>
      <c r="AX68" s="431">
        <f t="shared" si="6"/>
        <v>0</v>
      </c>
    </row>
    <row r="69" spans="1:50" ht="15">
      <c r="A69" s="18">
        <v>36</v>
      </c>
      <c r="B69" s="52" t="s">
        <v>182</v>
      </c>
      <c r="C69" s="148"/>
      <c r="D69" s="43"/>
      <c r="E69" s="178"/>
      <c r="F69" s="179"/>
      <c r="G69" s="346"/>
      <c r="H69" s="324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3"/>
        <v>0</v>
      </c>
      <c r="AH69" s="124">
        <f t="shared" si="14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5"/>
        <v>0</v>
      </c>
      <c r="AX69" s="431">
        <f t="shared" si="6"/>
        <v>0</v>
      </c>
    </row>
    <row r="70" spans="1:50" ht="15">
      <c r="A70" s="573">
        <v>37</v>
      </c>
      <c r="B70" s="568" t="s">
        <v>132</v>
      </c>
      <c r="C70" s="569">
        <v>2251</v>
      </c>
      <c r="D70" s="567">
        <v>20556641</v>
      </c>
      <c r="E70" s="570">
        <f>+D70*0.5</f>
        <v>10278320.5</v>
      </c>
      <c r="F70" s="571">
        <f>+D70*0.25</f>
        <v>5139160.25</v>
      </c>
      <c r="G70" s="572">
        <f>+D70*0.25</f>
        <v>5139160.25</v>
      </c>
      <c r="H70" s="324">
        <f t="shared" si="7"/>
        <v>20556641</v>
      </c>
      <c r="I70" s="254"/>
      <c r="J70" s="222"/>
      <c r="K70" s="254"/>
      <c r="L70" s="210"/>
      <c r="M70" s="210">
        <v>10278320</v>
      </c>
      <c r="N70" s="210"/>
      <c r="O70" s="212"/>
      <c r="P70" s="212">
        <v>5139160</v>
      </c>
      <c r="Q70" s="212"/>
      <c r="R70" s="212">
        <v>5139161</v>
      </c>
      <c r="S70" s="212"/>
      <c r="T70" s="248"/>
      <c r="U70" s="236"/>
      <c r="V70" s="210"/>
      <c r="W70" s="210"/>
      <c r="X70" s="210"/>
      <c r="Y70" s="210">
        <v>10278320</v>
      </c>
      <c r="Z70" s="210"/>
      <c r="AA70" s="210"/>
      <c r="AB70" s="210"/>
      <c r="AC70" s="210">
        <v>5139160</v>
      </c>
      <c r="AD70" s="210">
        <v>5139161</v>
      </c>
      <c r="AE70" s="210"/>
      <c r="AF70" s="210"/>
      <c r="AG70" s="219">
        <f t="shared" si="13"/>
        <v>20556641</v>
      </c>
      <c r="AH70" s="124">
        <f t="shared" si="14"/>
        <v>0</v>
      </c>
      <c r="AK70" s="236"/>
      <c r="AL70" s="210"/>
      <c r="AM70" s="210">
        <v>1474606</v>
      </c>
      <c r="AN70" s="210"/>
      <c r="AO70" s="210"/>
      <c r="AP70" s="210">
        <v>4362138</v>
      </c>
      <c r="AQ70" s="210"/>
      <c r="AR70" s="210"/>
      <c r="AS70" s="210">
        <v>5898424</v>
      </c>
      <c r="AT70" s="210"/>
      <c r="AU70" s="210">
        <v>2949212</v>
      </c>
      <c r="AV70" s="229"/>
      <c r="AW70" s="228">
        <f t="shared" si="15"/>
        <v>14684380</v>
      </c>
      <c r="AX70" s="431">
        <f t="shared" si="6"/>
        <v>5872261</v>
      </c>
    </row>
    <row r="71" spans="1:50" ht="15">
      <c r="A71" s="573">
        <v>38</v>
      </c>
      <c r="B71" s="568" t="s">
        <v>129</v>
      </c>
      <c r="C71" s="569">
        <v>2406</v>
      </c>
      <c r="D71" s="567">
        <v>2364759</v>
      </c>
      <c r="E71" s="570">
        <f>+D71*E31</f>
        <v>1655331.2999999998</v>
      </c>
      <c r="F71" s="571">
        <f>+D71*F31</f>
        <v>709427.7</v>
      </c>
      <c r="G71" s="572"/>
      <c r="H71" s="324">
        <f t="shared" si="7"/>
        <v>2364759</v>
      </c>
      <c r="I71" s="254"/>
      <c r="J71" s="222"/>
      <c r="K71" s="254"/>
      <c r="L71" s="210">
        <v>1655331</v>
      </c>
      <c r="M71" s="210"/>
      <c r="N71" s="210"/>
      <c r="O71" s="212"/>
      <c r="P71" s="212"/>
      <c r="Q71" s="212"/>
      <c r="R71" s="212"/>
      <c r="S71" s="212">
        <v>709428</v>
      </c>
      <c r="T71" s="248"/>
      <c r="U71" s="236"/>
      <c r="V71" s="210"/>
      <c r="W71" s="210"/>
      <c r="X71" s="210">
        <v>1655331</v>
      </c>
      <c r="Y71" s="210"/>
      <c r="Z71" s="210"/>
      <c r="AA71" s="210"/>
      <c r="AB71" s="210"/>
      <c r="AC71" s="210"/>
      <c r="AD71" s="210"/>
      <c r="AE71" s="210">
        <v>709428</v>
      </c>
      <c r="AF71" s="210"/>
      <c r="AG71" s="219">
        <f t="shared" si="13"/>
        <v>2364759</v>
      </c>
      <c r="AH71" s="124">
        <f t="shared" si="14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5"/>
        <v>0</v>
      </c>
      <c r="AX71" s="431">
        <f t="shared" si="6"/>
        <v>2364759</v>
      </c>
    </row>
    <row r="72" spans="1:50" ht="15">
      <c r="A72" s="18">
        <v>39</v>
      </c>
      <c r="B72" s="52" t="s">
        <v>133</v>
      </c>
      <c r="C72" s="148"/>
      <c r="D72" s="43"/>
      <c r="E72" s="178"/>
      <c r="F72" s="179"/>
      <c r="G72" s="346"/>
      <c r="H72" s="324">
        <f t="shared" si="7"/>
        <v>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/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3"/>
        <v>0</v>
      </c>
      <c r="AH72" s="124">
        <f t="shared" si="14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5"/>
        <v>0</v>
      </c>
      <c r="AX72" s="431">
        <f t="shared" si="6"/>
        <v>0</v>
      </c>
    </row>
    <row r="73" spans="1:50" ht="15">
      <c r="A73" s="18">
        <v>40</v>
      </c>
      <c r="B73" s="52" t="s">
        <v>134</v>
      </c>
      <c r="C73" s="148"/>
      <c r="D73" s="43"/>
      <c r="E73" s="178"/>
      <c r="F73" s="179"/>
      <c r="G73" s="346"/>
      <c r="H73" s="324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3"/>
        <v>0</v>
      </c>
      <c r="AH73" s="124">
        <f t="shared" si="14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5"/>
        <v>0</v>
      </c>
      <c r="AX73" s="431">
        <f t="shared" si="6"/>
        <v>0</v>
      </c>
    </row>
    <row r="74" spans="1:50" ht="15">
      <c r="A74" s="18">
        <v>41</v>
      </c>
      <c r="B74" s="52" t="s">
        <v>135</v>
      </c>
      <c r="C74" s="148"/>
      <c r="D74" s="43"/>
      <c r="E74" s="178"/>
      <c r="F74" s="179"/>
      <c r="G74" s="346"/>
      <c r="H74" s="324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3"/>
        <v>0</v>
      </c>
      <c r="AH74" s="124">
        <f t="shared" si="14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5"/>
        <v>0</v>
      </c>
      <c r="AX74" s="431">
        <f t="shared" si="6"/>
        <v>0</v>
      </c>
    </row>
    <row r="75" spans="1:50" ht="15">
      <c r="A75" s="573">
        <v>42</v>
      </c>
      <c r="B75" s="568" t="s">
        <v>171</v>
      </c>
      <c r="C75" s="569">
        <v>3108</v>
      </c>
      <c r="D75" s="567">
        <v>2422015</v>
      </c>
      <c r="E75" s="736" t="s">
        <v>172</v>
      </c>
      <c r="F75" s="737"/>
      <c r="G75" s="738"/>
      <c r="H75" s="324">
        <f t="shared" si="7"/>
        <v>2422015</v>
      </c>
      <c r="I75" s="254"/>
      <c r="J75" s="222"/>
      <c r="K75" s="254"/>
      <c r="L75" s="210"/>
      <c r="M75" s="210"/>
      <c r="N75" s="210">
        <v>1695411</v>
      </c>
      <c r="O75" s="212"/>
      <c r="P75" s="212"/>
      <c r="Q75" s="212">
        <v>726604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6">SUM(U75:AF75)</f>
        <v>0</v>
      </c>
      <c r="AH75" s="124">
        <f t="shared" si="14"/>
        <v>2422015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7">SUM(AK75:AV75)</f>
        <v>0</v>
      </c>
      <c r="AX75" s="431">
        <f t="shared" si="6"/>
        <v>0</v>
      </c>
    </row>
    <row r="76" spans="1:50" ht="15">
      <c r="A76" s="573">
        <v>43</v>
      </c>
      <c r="B76" s="568" t="s">
        <v>173</v>
      </c>
      <c r="C76" s="569">
        <v>3109</v>
      </c>
      <c r="D76" s="567">
        <v>4821000</v>
      </c>
      <c r="E76" s="736" t="s">
        <v>172</v>
      </c>
      <c r="F76" s="737"/>
      <c r="G76" s="738"/>
      <c r="H76" s="324">
        <f t="shared" si="7"/>
        <v>4821000</v>
      </c>
      <c r="I76" s="254"/>
      <c r="J76" s="222"/>
      <c r="K76" s="254"/>
      <c r="L76" s="210"/>
      <c r="M76" s="210"/>
      <c r="N76" s="210">
        <v>3374700</v>
      </c>
      <c r="O76" s="212"/>
      <c r="P76" s="212"/>
      <c r="Q76" s="212"/>
      <c r="R76" s="212"/>
      <c r="S76" s="212">
        <v>1446300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6"/>
        <v>0</v>
      </c>
      <c r="AH76" s="124">
        <f t="shared" si="14"/>
        <v>4821000</v>
      </c>
      <c r="AI76" s="170">
        <f>+AH75+AH76+AH77</f>
        <v>8929582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7"/>
        <v>0</v>
      </c>
      <c r="AX76" s="431">
        <f t="shared" si="6"/>
        <v>0</v>
      </c>
    </row>
    <row r="77" spans="1:50" ht="15">
      <c r="A77" s="18">
        <v>44</v>
      </c>
      <c r="B77" s="568" t="s">
        <v>188</v>
      </c>
      <c r="C77" s="569" t="s">
        <v>221</v>
      </c>
      <c r="D77" s="567">
        <v>5621889</v>
      </c>
      <c r="E77" s="579">
        <f>+D77*1</f>
        <v>5621889</v>
      </c>
      <c r="F77" s="579"/>
      <c r="G77" s="579"/>
      <c r="H77" s="482">
        <f t="shared" si="7"/>
        <v>5621889</v>
      </c>
      <c r="I77" s="254"/>
      <c r="J77" s="222"/>
      <c r="K77" s="254"/>
      <c r="L77" s="210"/>
      <c r="M77" s="210"/>
      <c r="N77" s="210"/>
      <c r="O77" s="212"/>
      <c r="P77" s="212">
        <v>3935322</v>
      </c>
      <c r="Q77" s="212">
        <v>1686567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3935322</v>
      </c>
      <c r="AC77" s="210"/>
      <c r="AD77" s="210"/>
      <c r="AE77" s="210"/>
      <c r="AF77" s="210"/>
      <c r="AG77" s="219">
        <f t="shared" si="16"/>
        <v>3935322</v>
      </c>
      <c r="AH77" s="124">
        <f t="shared" si="14"/>
        <v>1686567</v>
      </c>
      <c r="AK77" s="236"/>
      <c r="AL77" s="210"/>
      <c r="AM77" s="210"/>
      <c r="AN77" s="210"/>
      <c r="AO77" s="210"/>
      <c r="AP77" s="210">
        <v>6005142</v>
      </c>
      <c r="AQ77" s="210"/>
      <c r="AR77" s="210"/>
      <c r="AS77" s="210"/>
      <c r="AT77" s="210"/>
      <c r="AU77" s="210"/>
      <c r="AV77" s="229"/>
      <c r="AW77" s="228">
        <f t="shared" si="17"/>
        <v>6005142</v>
      </c>
      <c r="AX77" s="431">
        <f t="shared" si="6"/>
        <v>-2069820</v>
      </c>
    </row>
    <row r="78" spans="1:50" ht="15">
      <c r="A78" s="18">
        <v>45</v>
      </c>
      <c r="B78" s="52" t="s">
        <v>189</v>
      </c>
      <c r="C78" s="148" t="s">
        <v>196</v>
      </c>
      <c r="D78" s="43">
        <v>109619064</v>
      </c>
      <c r="E78" s="720" t="s">
        <v>172</v>
      </c>
      <c r="F78" s="721"/>
      <c r="G78" s="722"/>
      <c r="H78" s="482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6"/>
        <v>0</v>
      </c>
      <c r="AH78" s="124">
        <f t="shared" si="14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7"/>
        <v>0</v>
      </c>
      <c r="AX78" s="431">
        <f>+AG78-AW78</f>
        <v>0</v>
      </c>
    </row>
    <row r="79" spans="1:50" ht="15">
      <c r="A79" s="18"/>
      <c r="B79" s="52" t="s">
        <v>205</v>
      </c>
      <c r="C79" s="148"/>
      <c r="D79" s="43"/>
      <c r="E79" s="485"/>
      <c r="F79" s="485"/>
      <c r="G79" s="485"/>
      <c r="H79" s="482">
        <f t="shared" si="7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6"/>
        <v>0</v>
      </c>
      <c r="AH79" s="124">
        <f t="shared" si="14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7"/>
        <v>0</v>
      </c>
      <c r="AX79" s="431">
        <f>+AG79-AW79</f>
        <v>0</v>
      </c>
    </row>
    <row r="80" spans="1:50" ht="15">
      <c r="A80" s="18">
        <v>46</v>
      </c>
      <c r="B80" s="52" t="s">
        <v>105</v>
      </c>
      <c r="C80" s="148"/>
      <c r="D80" s="43"/>
      <c r="E80" s="172"/>
      <c r="F80" s="172"/>
      <c r="G80" s="172"/>
      <c r="H80" s="482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6"/>
        <v>0</v>
      </c>
      <c r="AH80" s="124">
        <f t="shared" si="14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7"/>
        <v>0</v>
      </c>
      <c r="AX80" s="431">
        <f>+AG80-AW80</f>
        <v>0</v>
      </c>
    </row>
    <row r="81" spans="1:50" ht="15">
      <c r="A81" s="621"/>
      <c r="B81" s="568" t="s">
        <v>256</v>
      </c>
      <c r="C81" s="569" t="s">
        <v>266</v>
      </c>
      <c r="D81" s="567">
        <v>2815655</v>
      </c>
      <c r="E81" s="622">
        <f>+D81</f>
        <v>2815655</v>
      </c>
      <c r="F81" s="571"/>
      <c r="G81" s="572"/>
      <c r="H81" s="482">
        <f t="shared" si="7"/>
        <v>2815655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2815655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219">
        <f t="shared" si="16"/>
        <v>2815655</v>
      </c>
      <c r="AH81" s="124">
        <f t="shared" si="14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7"/>
        <v>0</v>
      </c>
      <c r="AX81" s="431">
        <f>+AG81-AW81</f>
        <v>2815655</v>
      </c>
    </row>
    <row r="82" spans="1:50" ht="15.75" thickBot="1">
      <c r="A82" s="145"/>
      <c r="B82" s="52"/>
      <c r="C82" s="148"/>
      <c r="D82" s="43"/>
      <c r="E82" s="178"/>
      <c r="F82" s="179"/>
      <c r="G82" s="346"/>
      <c r="H82" s="482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6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7"/>
        <v>0</v>
      </c>
      <c r="AX82" s="431">
        <f>+AG82-AW82</f>
        <v>0</v>
      </c>
    </row>
    <row r="83" spans="1:50" ht="15.75" thickBot="1">
      <c r="A83" s="764" t="s">
        <v>93</v>
      </c>
      <c r="B83" s="765"/>
      <c r="C83" s="766"/>
      <c r="D83" s="85">
        <f>SUM(D34:D81)</f>
        <v>699132664</v>
      </c>
      <c r="E83" s="86"/>
      <c r="F83" s="87"/>
      <c r="G83" s="88"/>
      <c r="H83" s="348">
        <f t="shared" ref="H83:AG83" si="18">SUM(H34:H82)</f>
        <v>589513599.89999998</v>
      </c>
      <c r="I83" s="255">
        <f t="shared" si="18"/>
        <v>0</v>
      </c>
      <c r="J83" s="256">
        <f t="shared" si="18"/>
        <v>0</v>
      </c>
      <c r="K83" s="256">
        <f t="shared" si="18"/>
        <v>277639665.30000001</v>
      </c>
      <c r="L83" s="256">
        <f t="shared" si="18"/>
        <v>47214112</v>
      </c>
      <c r="M83" s="256">
        <f t="shared" si="18"/>
        <v>45099677</v>
      </c>
      <c r="N83" s="256">
        <f t="shared" si="18"/>
        <v>11367615</v>
      </c>
      <c r="O83" s="256">
        <f t="shared" si="18"/>
        <v>6297504</v>
      </c>
      <c r="P83" s="256">
        <f t="shared" si="18"/>
        <v>33419906</v>
      </c>
      <c r="Q83" s="256">
        <f t="shared" si="18"/>
        <v>8710675</v>
      </c>
      <c r="R83" s="256">
        <f t="shared" si="18"/>
        <v>119680665.50000001</v>
      </c>
      <c r="S83" s="256">
        <f t="shared" si="18"/>
        <v>33786276.100000001</v>
      </c>
      <c r="T83" s="256">
        <f t="shared" si="18"/>
        <v>6297504</v>
      </c>
      <c r="U83" s="241">
        <f t="shared" si="18"/>
        <v>0</v>
      </c>
      <c r="V83" s="241">
        <f t="shared" si="18"/>
        <v>0</v>
      </c>
      <c r="W83" s="241">
        <f t="shared" si="18"/>
        <v>277639665.39999998</v>
      </c>
      <c r="X83" s="241">
        <f t="shared" si="18"/>
        <v>47214112</v>
      </c>
      <c r="Y83" s="241">
        <f t="shared" si="18"/>
        <v>45099677</v>
      </c>
      <c r="Z83" s="241">
        <f t="shared" si="18"/>
        <v>0</v>
      </c>
      <c r="AA83" s="241">
        <f t="shared" si="18"/>
        <v>6297504</v>
      </c>
      <c r="AB83" s="241">
        <f t="shared" si="18"/>
        <v>21983242</v>
      </c>
      <c r="AC83" s="241">
        <f t="shared" si="18"/>
        <v>17734168</v>
      </c>
      <c r="AD83" s="241">
        <f t="shared" si="18"/>
        <v>93722651.700000003</v>
      </c>
      <c r="AE83" s="241">
        <f t="shared" si="18"/>
        <v>34368489</v>
      </c>
      <c r="AF83" s="241">
        <f t="shared" si="18"/>
        <v>6297504</v>
      </c>
      <c r="AG83" s="241">
        <f t="shared" si="18"/>
        <v>550357013.10000002</v>
      </c>
      <c r="AH83" s="125">
        <f>+H83-AG83</f>
        <v>39156586.799999952</v>
      </c>
      <c r="AK83" s="425">
        <f t="shared" ref="AK83:AX83" si="19">SUM(AK34:AK82)</f>
        <v>0</v>
      </c>
      <c r="AL83" s="425">
        <f t="shared" si="19"/>
        <v>0</v>
      </c>
      <c r="AM83" s="425">
        <f t="shared" si="19"/>
        <v>13779494</v>
      </c>
      <c r="AN83" s="425">
        <f t="shared" si="19"/>
        <v>0</v>
      </c>
      <c r="AO83" s="425">
        <f t="shared" si="19"/>
        <v>0</v>
      </c>
      <c r="AP83" s="425">
        <f t="shared" si="19"/>
        <v>77975790</v>
      </c>
      <c r="AQ83" s="425">
        <f>SUM(AQ34:AQ82)</f>
        <v>54246963</v>
      </c>
      <c r="AR83" s="425">
        <f t="shared" si="19"/>
        <v>2404372</v>
      </c>
      <c r="AS83" s="425">
        <f t="shared" si="19"/>
        <v>115057886</v>
      </c>
      <c r="AT83" s="425">
        <f t="shared" si="19"/>
        <v>0</v>
      </c>
      <c r="AU83" s="425">
        <f t="shared" si="19"/>
        <v>56050970</v>
      </c>
      <c r="AV83" s="438">
        <f t="shared" si="19"/>
        <v>112967997</v>
      </c>
      <c r="AW83" s="451">
        <f t="shared" si="19"/>
        <v>432483472</v>
      </c>
      <c r="AX83" s="429">
        <f t="shared" si="19"/>
        <v>117873541.09999998</v>
      </c>
    </row>
    <row r="84" spans="1:50" s="376" customFormat="1" ht="15.75" thickBot="1">
      <c r="D84" s="377"/>
      <c r="E84" s="378"/>
      <c r="F84" s="378"/>
      <c r="G84" s="378"/>
      <c r="H84" s="379"/>
      <c r="I84" s="379"/>
      <c r="J84" s="379"/>
      <c r="K84" s="379"/>
      <c r="L84" s="379"/>
      <c r="M84" s="379"/>
      <c r="N84" s="379"/>
      <c r="O84" s="379"/>
      <c r="P84" s="207"/>
      <c r="Q84" s="782" t="s">
        <v>146</v>
      </c>
      <c r="R84" s="783"/>
      <c r="S84" s="783"/>
      <c r="T84" s="783"/>
      <c r="U84" s="395">
        <v>3450042</v>
      </c>
      <c r="V84" s="396">
        <v>3450043</v>
      </c>
      <c r="W84" s="395">
        <v>3450044</v>
      </c>
      <c r="X84" s="396">
        <v>3450045</v>
      </c>
      <c r="Y84" s="395">
        <v>3454849</v>
      </c>
      <c r="Z84" s="396">
        <v>3467827</v>
      </c>
      <c r="AA84" s="395">
        <v>3480072</v>
      </c>
      <c r="AB84" s="396">
        <v>3491826</v>
      </c>
      <c r="AC84" s="395">
        <v>3510158</v>
      </c>
      <c r="AD84" s="396">
        <v>3513788</v>
      </c>
      <c r="AE84" s="395"/>
      <c r="AF84" s="395"/>
      <c r="AG84" s="379"/>
      <c r="AM84" s="469"/>
      <c r="AQ84" s="207"/>
      <c r="AS84" s="207"/>
      <c r="AW84" s="207"/>
    </row>
    <row r="85" spans="1:50" ht="15.75" thickBot="1">
      <c r="A85" s="761" t="s">
        <v>94</v>
      </c>
      <c r="B85" s="762"/>
      <c r="C85" s="763"/>
      <c r="D85" s="133">
        <f>+D83+D30</f>
        <v>2672260864</v>
      </c>
      <c r="E85" s="127"/>
      <c r="F85" s="128"/>
      <c r="G85" s="128"/>
      <c r="H85" s="242">
        <f>+H30</f>
        <v>2142415440.95</v>
      </c>
      <c r="I85" s="215">
        <f t="shared" ref="I85:AH85" si="20">+I83+I30</f>
        <v>164427350</v>
      </c>
      <c r="J85" s="215">
        <f t="shared" si="20"/>
        <v>165912756</v>
      </c>
      <c r="K85" s="215">
        <f t="shared" si="20"/>
        <v>442809718.25</v>
      </c>
      <c r="L85" s="215">
        <f t="shared" si="20"/>
        <v>251580799</v>
      </c>
      <c r="M85" s="215">
        <f t="shared" si="20"/>
        <v>210214823</v>
      </c>
      <c r="N85" s="215">
        <f t="shared" si="20"/>
        <v>204387568</v>
      </c>
      <c r="O85" s="215">
        <f t="shared" si="20"/>
        <v>171412650</v>
      </c>
      <c r="P85" s="215">
        <f t="shared" si="20"/>
        <v>239024169</v>
      </c>
      <c r="Q85" s="215">
        <f t="shared" si="20"/>
        <v>200767961</v>
      </c>
      <c r="R85" s="215">
        <f t="shared" si="20"/>
        <v>284533092.5</v>
      </c>
      <c r="S85" s="215">
        <f t="shared" si="20"/>
        <v>198638703.09999999</v>
      </c>
      <c r="T85" s="257">
        <f t="shared" si="20"/>
        <v>198219451</v>
      </c>
      <c r="U85" s="242">
        <f t="shared" si="20"/>
        <v>164427350</v>
      </c>
      <c r="V85" s="215">
        <f t="shared" si="20"/>
        <v>165912756</v>
      </c>
      <c r="W85" s="285">
        <f t="shared" si="20"/>
        <v>442809718.39999998</v>
      </c>
      <c r="X85" s="242">
        <f t="shared" si="20"/>
        <v>251580799</v>
      </c>
      <c r="Y85" s="215">
        <f t="shared" si="20"/>
        <v>210214823</v>
      </c>
      <c r="Z85" s="285">
        <f t="shared" si="20"/>
        <v>193019953</v>
      </c>
      <c r="AA85" s="242">
        <f t="shared" si="20"/>
        <v>171412650</v>
      </c>
      <c r="AB85" s="215">
        <f t="shared" si="20"/>
        <v>227587505</v>
      </c>
      <c r="AC85" s="285">
        <f t="shared" si="20"/>
        <v>209791454</v>
      </c>
      <c r="AD85" s="242">
        <f t="shared" si="20"/>
        <v>258575078.69999999</v>
      </c>
      <c r="AE85" s="215">
        <f t="shared" si="20"/>
        <v>199220916</v>
      </c>
      <c r="AF85" s="285">
        <f t="shared" si="20"/>
        <v>198219451</v>
      </c>
      <c r="AG85" s="282">
        <f t="shared" si="20"/>
        <v>2692772454.0999999</v>
      </c>
      <c r="AH85" s="132">
        <f t="shared" si="20"/>
        <v>39156586.75</v>
      </c>
      <c r="AQ85" s="473"/>
      <c r="AR85" s="473"/>
      <c r="AS85" s="473"/>
      <c r="AW85" s="473"/>
    </row>
    <row r="86" spans="1:50">
      <c r="F86" s="299"/>
      <c r="G86" s="503"/>
      <c r="Z86" s="207">
        <v>4</v>
      </c>
      <c r="AW86" s="473"/>
    </row>
    <row r="87" spans="1:50" ht="15" thickBot="1">
      <c r="D87" s="1"/>
      <c r="E87" s="1"/>
      <c r="F87" s="1"/>
      <c r="G87" s="207"/>
    </row>
    <row r="88" spans="1:50" ht="15.75" thickBot="1">
      <c r="A88" s="273"/>
      <c r="B88" s="758" t="s">
        <v>118</v>
      </c>
      <c r="C88" s="759"/>
      <c r="D88" s="760"/>
      <c r="G88" s="299"/>
    </row>
    <row r="89" spans="1:50">
      <c r="A89" s="274" t="s">
        <v>119</v>
      </c>
      <c r="B89" s="708" t="s">
        <v>123</v>
      </c>
      <c r="C89" s="709"/>
      <c r="D89" s="275">
        <f>+U85+V85+W85</f>
        <v>773149824.39999998</v>
      </c>
    </row>
    <row r="90" spans="1:50">
      <c r="A90" s="276" t="s">
        <v>120</v>
      </c>
      <c r="B90" s="706" t="s">
        <v>124</v>
      </c>
      <c r="C90" s="707"/>
      <c r="D90" s="277">
        <f>+X85+Y85+Z85</f>
        <v>654815575</v>
      </c>
      <c r="X90" s="207">
        <v>654815575</v>
      </c>
    </row>
    <row r="91" spans="1:50">
      <c r="A91" s="276" t="s">
        <v>121</v>
      </c>
      <c r="B91" s="706" t="s">
        <v>125</v>
      </c>
      <c r="C91" s="707"/>
      <c r="D91" s="277">
        <f>+AA85+AB85+AC85</f>
        <v>608791609</v>
      </c>
      <c r="E91" s="299"/>
      <c r="F91" s="503"/>
    </row>
    <row r="92" spans="1:50" ht="15" thickBot="1">
      <c r="A92" s="278" t="s">
        <v>122</v>
      </c>
      <c r="B92" s="704" t="s">
        <v>126</v>
      </c>
      <c r="C92" s="705"/>
      <c r="D92" s="279">
        <f>+AD85+AE85+AF85</f>
        <v>656015445.70000005</v>
      </c>
    </row>
    <row r="93" spans="1:50" ht="15.75" customHeight="1" thickBot="1">
      <c r="A93" s="756" t="s">
        <v>117</v>
      </c>
      <c r="B93" s="757"/>
      <c r="C93" s="757"/>
      <c r="D93" s="280">
        <f>SUM(D89:D92)</f>
        <v>2692772454.1000004</v>
      </c>
    </row>
    <row r="97" spans="2:5" ht="15">
      <c r="B97" s="509" t="s">
        <v>234</v>
      </c>
      <c r="E97" s="1"/>
    </row>
    <row r="98" spans="2:5">
      <c r="B98" s="700" t="s">
        <v>243</v>
      </c>
      <c r="C98" s="700"/>
      <c r="D98" s="700"/>
      <c r="E98" s="700"/>
    </row>
    <row r="99" spans="2:5">
      <c r="B99" s="700"/>
      <c r="C99" s="700"/>
      <c r="D99" s="700"/>
      <c r="E99" s="700"/>
    </row>
    <row r="100" spans="2:5">
      <c r="B100" s="700"/>
      <c r="C100" s="700"/>
      <c r="D100" s="700"/>
      <c r="E100" s="700"/>
    </row>
    <row r="102" spans="2:5" ht="15">
      <c r="C102" s="508" t="s">
        <v>82</v>
      </c>
      <c r="D102" s="6">
        <v>12595008</v>
      </c>
    </row>
    <row r="103" spans="2:5" ht="15">
      <c r="C103" s="508" t="s">
        <v>236</v>
      </c>
      <c r="D103" s="511">
        <v>5139160</v>
      </c>
    </row>
    <row r="104" spans="2:5">
      <c r="D104" s="6">
        <f>SUM(D102:D103)</f>
        <v>17734168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Cabildo</vt:lpstr>
      <vt:lpstr>La Calera</vt:lpstr>
      <vt:lpstr>Concón</vt:lpstr>
      <vt:lpstr>Hijuelas</vt:lpstr>
      <vt:lpstr>La Cruz</vt:lpstr>
      <vt:lpstr>La Ligua</vt:lpstr>
      <vt:lpstr>Limache</vt:lpstr>
      <vt:lpstr>Nogales</vt:lpstr>
      <vt:lpstr>Olmue</vt:lpstr>
      <vt:lpstr>Papudo</vt:lpstr>
      <vt:lpstr>Petorca</vt:lpstr>
      <vt:lpstr>Puchuncavi</vt:lpstr>
      <vt:lpstr>Quillota</vt:lpstr>
      <vt:lpstr>Quilpue</vt:lpstr>
      <vt:lpstr>Quintero</vt:lpstr>
      <vt:lpstr>Villa Alemana</vt:lpstr>
      <vt:lpstr>Viña del Mar</vt:lpstr>
      <vt:lpstr>Zapallar</vt:lpstr>
      <vt:lpstr>Consolidado '20</vt:lpstr>
      <vt:lpstr>Hoja4</vt:lpstr>
      <vt:lpstr>Hoja3</vt:lpstr>
      <vt:lpstr>Hoja1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2020-01-27T12:50:47Z</dcterms:created>
  <dcterms:modified xsi:type="dcterms:W3CDTF">2021-01-15T14:08:52Z</dcterms:modified>
</cp:coreProperties>
</file>